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milyEdgerton/AME/May queen fell race/2020 race docs/Un race 2020/"/>
    </mc:Choice>
  </mc:AlternateContent>
  <xr:revisionPtr revIDLastSave="0" documentId="13_ncr:1_{9DC28B0F-F5C9-2242-A07B-9FB3DC9FCC13}" xr6:coauthVersionLast="45" xr6:coauthVersionMax="45" xr10:uidLastSave="{00000000-0000-0000-0000-000000000000}"/>
  <bookViews>
    <workbookView xWindow="4420" yWindow="3480" windowWidth="39180" windowHeight="17740" xr2:uid="{7754FB11-B1E9-114E-8F2C-AA4E5835CE94}"/>
  </bookViews>
  <sheets>
    <sheet name="Sheet1" sheetId="1" r:id="rId1"/>
    <sheet name="Sheet2" sheetId="2" r:id="rId2"/>
  </sheets>
  <definedNames>
    <definedName name="_xlnm._FilterDatabase" localSheetId="0" hidden="1">Sheet1!$A$2:$U$2</definedName>
    <definedName name="_xlnm.Print_Area" localSheetId="0">Sheet1!$A$1:$T$38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43" i="1" l="1"/>
  <c r="D50" i="1"/>
  <c r="C50" i="1"/>
  <c r="J53" i="1"/>
  <c r="J52" i="1"/>
  <c r="I52" i="1"/>
  <c r="J51" i="1"/>
  <c r="I51" i="1"/>
  <c r="J49" i="1"/>
  <c r="I49" i="1"/>
  <c r="J50" i="1"/>
  <c r="I50" i="1"/>
  <c r="J48" i="1"/>
  <c r="I48" i="1"/>
  <c r="J46" i="1"/>
  <c r="I46" i="1"/>
  <c r="J47" i="1"/>
  <c r="I47" i="1"/>
  <c r="J45" i="1"/>
  <c r="I45" i="1"/>
  <c r="J44" i="1"/>
  <c r="I44" i="1"/>
  <c r="J43" i="1"/>
  <c r="I43" i="1"/>
  <c r="E47" i="1"/>
  <c r="E48" i="1"/>
  <c r="E49" i="1"/>
  <c r="D46" i="1"/>
  <c r="D47" i="1"/>
  <c r="C47" i="1"/>
  <c r="D49" i="1"/>
  <c r="C49" i="1"/>
  <c r="D48" i="1"/>
  <c r="C48" i="1"/>
  <c r="E45" i="1"/>
  <c r="D45" i="1"/>
  <c r="C45" i="1"/>
  <c r="D44" i="1"/>
  <c r="C44" i="1"/>
  <c r="D43" i="1"/>
  <c r="C43" i="1"/>
  <c r="K8" i="1"/>
  <c r="I8" i="1"/>
  <c r="I4" i="1"/>
  <c r="H8" i="1"/>
  <c r="S8" i="1" l="1"/>
  <c r="Q8" i="1"/>
  <c r="T8" i="1" s="1"/>
  <c r="K9" i="1" l="1"/>
  <c r="S9" i="1"/>
  <c r="Q9" i="1"/>
  <c r="K34" i="1"/>
  <c r="H34" i="1"/>
  <c r="K29" i="1"/>
  <c r="I18" i="1"/>
  <c r="I29" i="1"/>
  <c r="H29" i="1"/>
  <c r="K18" i="1"/>
  <c r="K23" i="1"/>
  <c r="K4" i="1"/>
  <c r="H4" i="1"/>
  <c r="Q38" i="1"/>
  <c r="S38" i="1"/>
  <c r="Q37" i="1"/>
  <c r="S37" i="1"/>
  <c r="K38" i="1"/>
  <c r="K37" i="1"/>
  <c r="Q24" i="1"/>
  <c r="S24" i="1"/>
  <c r="K24" i="1"/>
  <c r="T9" i="1" l="1"/>
  <c r="T38" i="1"/>
  <c r="T37" i="1"/>
  <c r="T24" i="1"/>
  <c r="Q12" i="1"/>
  <c r="Q19" i="1"/>
  <c r="Q20" i="1"/>
  <c r="K26" i="1"/>
  <c r="K13" i="1"/>
  <c r="S20" i="1"/>
  <c r="S19" i="1"/>
  <c r="S12" i="1"/>
  <c r="K20" i="1"/>
  <c r="K19" i="1"/>
  <c r="K12" i="1"/>
  <c r="K25" i="1"/>
  <c r="T19" i="1" l="1"/>
  <c r="T20" i="1"/>
  <c r="T12" i="1"/>
  <c r="Q28" i="1"/>
  <c r="Q32" i="1"/>
  <c r="Q26" i="1"/>
  <c r="Q21" i="1"/>
  <c r="Q3" i="1"/>
  <c r="Q11" i="1"/>
  <c r="Q30" i="1"/>
  <c r="Q16" i="1"/>
  <c r="Q27" i="1"/>
  <c r="Q33" i="1"/>
  <c r="Q15" i="1"/>
  <c r="Q7" i="1"/>
  <c r="Q4" i="1"/>
  <c r="Q23" i="1"/>
  <c r="Q13" i="1"/>
  <c r="Q10" i="1"/>
  <c r="Q39" i="1"/>
  <c r="Q5" i="1"/>
  <c r="Q35" i="1"/>
  <c r="Q22" i="1"/>
  <c r="Q6" i="1"/>
  <c r="Q14" i="1"/>
  <c r="Q34" i="1"/>
  <c r="Q25" i="1"/>
  <c r="Q18" i="1"/>
  <c r="Q29" i="1"/>
  <c r="Q36" i="1"/>
  <c r="Q31" i="1"/>
  <c r="Q17" i="1"/>
  <c r="K30" i="1"/>
  <c r="S18" i="1"/>
  <c r="S29" i="1"/>
  <c r="S36" i="1"/>
  <c r="S31" i="1"/>
  <c r="K31" i="1"/>
  <c r="K22" i="1"/>
  <c r="K10" i="1"/>
  <c r="K36" i="1"/>
  <c r="K3" i="1"/>
  <c r="S25" i="1"/>
  <c r="S34" i="1"/>
  <c r="K7" i="1"/>
  <c r="K16" i="1"/>
  <c r="K27" i="1"/>
  <c r="I27" i="1"/>
  <c r="H27" i="1"/>
  <c r="I16" i="1"/>
  <c r="H16" i="1"/>
  <c r="K32" i="1"/>
  <c r="S14" i="1"/>
  <c r="K14" i="1"/>
  <c r="T29" i="1" l="1"/>
  <c r="T14" i="1"/>
  <c r="T18" i="1"/>
  <c r="T31" i="1"/>
  <c r="T25" i="1"/>
  <c r="T36" i="1"/>
  <c r="T34" i="1"/>
  <c r="K6" i="1"/>
  <c r="K17" i="1"/>
  <c r="K35" i="1"/>
  <c r="K5" i="1"/>
  <c r="K11" i="1"/>
  <c r="H11" i="1"/>
  <c r="K39" i="1"/>
  <c r="I10" i="1"/>
  <c r="H10" i="1"/>
  <c r="S28" i="1"/>
  <c r="T28" i="1" s="1"/>
  <c r="S32" i="1"/>
  <c r="T32" i="1" s="1"/>
  <c r="S26" i="1"/>
  <c r="T26" i="1" s="1"/>
  <c r="S21" i="1"/>
  <c r="T21" i="1" s="1"/>
  <c r="S3" i="1"/>
  <c r="T3" i="1" s="1"/>
  <c r="S11" i="1"/>
  <c r="T11" i="1" s="1"/>
  <c r="S30" i="1"/>
  <c r="T30" i="1" s="1"/>
  <c r="S16" i="1"/>
  <c r="T16" i="1" s="1"/>
  <c r="S27" i="1"/>
  <c r="T27" i="1" s="1"/>
  <c r="S33" i="1"/>
  <c r="T33" i="1" s="1"/>
  <c r="S15" i="1"/>
  <c r="T15" i="1" s="1"/>
  <c r="S7" i="1"/>
  <c r="T7" i="1" s="1"/>
  <c r="S4" i="1"/>
  <c r="T4" i="1" s="1"/>
  <c r="S23" i="1"/>
  <c r="T23" i="1" s="1"/>
  <c r="S13" i="1"/>
  <c r="T13" i="1" s="1"/>
  <c r="S10" i="1"/>
  <c r="T10" i="1" s="1"/>
  <c r="S39" i="1"/>
  <c r="T39" i="1" s="1"/>
  <c r="S5" i="1"/>
  <c r="T5" i="1" s="1"/>
  <c r="S35" i="1"/>
  <c r="T35" i="1" s="1"/>
  <c r="S22" i="1"/>
  <c r="T22" i="1" s="1"/>
  <c r="S6" i="1"/>
  <c r="T6" i="1" s="1"/>
  <c r="S17" i="1"/>
  <c r="T17" i="1" s="1"/>
  <c r="S66" i="1"/>
  <c r="T66" i="1" s="1"/>
  <c r="I21" i="1" l="1"/>
  <c r="K21" i="1"/>
  <c r="H21" i="1"/>
  <c r="K15" i="1"/>
  <c r="K33" i="1"/>
  <c r="K28" i="1"/>
  <c r="S65" i="1" l="1"/>
  <c r="T65" i="1" s="1"/>
  <c r="S61" i="1"/>
  <c r="T61" i="1" s="1"/>
  <c r="S59" i="1"/>
  <c r="T59" i="1" s="1"/>
  <c r="S64" i="1"/>
  <c r="T64" i="1" s="1"/>
  <c r="S58" i="1"/>
  <c r="T58" i="1" s="1"/>
  <c r="S62" i="1"/>
  <c r="T62" i="1" s="1"/>
  <c r="S60" i="1"/>
  <c r="T60" i="1" s="1"/>
  <c r="S63" i="1"/>
  <c r="T63" i="1" s="1"/>
  <c r="C58" i="1" l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</calcChain>
</file>

<file path=xl/sharedStrings.xml><?xml version="1.0" encoding="utf-8"?>
<sst xmlns="http://schemas.openxmlformats.org/spreadsheetml/2006/main" count="276" uniqueCount="147">
  <si>
    <t>Hayfield May Queen un fell race 2020</t>
  </si>
  <si>
    <t>Position</t>
  </si>
  <si>
    <t>Race entry</t>
  </si>
  <si>
    <t>Name</t>
  </si>
  <si>
    <t>Club</t>
  </si>
  <si>
    <t>Distance</t>
  </si>
  <si>
    <t>Hieight climbed</t>
  </si>
  <si>
    <t>Date run</t>
  </si>
  <si>
    <t>Time</t>
  </si>
  <si>
    <t>Paul Rowland</t>
  </si>
  <si>
    <t>John Williams</t>
  </si>
  <si>
    <t>Mark Fermer</t>
  </si>
  <si>
    <t>Brian Holland</t>
  </si>
  <si>
    <t>Sue Holland</t>
  </si>
  <si>
    <t>GVS</t>
  </si>
  <si>
    <t>Paul Rowley</t>
  </si>
  <si>
    <t>Nancy's peaks</t>
  </si>
  <si>
    <t>Fun name</t>
  </si>
  <si>
    <t>lert</t>
  </si>
  <si>
    <t>Age</t>
  </si>
  <si>
    <t>M60</t>
  </si>
  <si>
    <t>M65</t>
  </si>
  <si>
    <t>Queen of the low</t>
  </si>
  <si>
    <t>Chris Bowen</t>
  </si>
  <si>
    <t>Dave Bowen</t>
  </si>
  <si>
    <t>Adjustment (Sec/m)</t>
  </si>
  <si>
    <t xml:space="preserve">time correction </t>
  </si>
  <si>
    <t>Adjusted time</t>
  </si>
  <si>
    <t xml:space="preserve">Ascent (m) </t>
  </si>
  <si>
    <t>(sec)</t>
  </si>
  <si>
    <t>(min)</t>
  </si>
  <si>
    <t>Amy Whelan</t>
  </si>
  <si>
    <t>Buxton</t>
  </si>
  <si>
    <t>F15</t>
  </si>
  <si>
    <t>Lucy Whelan</t>
  </si>
  <si>
    <t>F12</t>
  </si>
  <si>
    <t>They said I was nearly there!</t>
  </si>
  <si>
    <t>Princess Tortoise</t>
  </si>
  <si>
    <t>Imogen Jones</t>
  </si>
  <si>
    <t>FS</t>
  </si>
  <si>
    <t>F60</t>
  </si>
  <si>
    <t>Chris Tetley</t>
  </si>
  <si>
    <t>Trot to top o' t'moor and down again</t>
  </si>
  <si>
    <t>Rob Hawksley</t>
  </si>
  <si>
    <t>South Head from White Knowle</t>
  </si>
  <si>
    <t>M55</t>
  </si>
  <si>
    <t>M40</t>
  </si>
  <si>
    <t>Ian Warhurst</t>
  </si>
  <si>
    <t>Sarah Warhurst</t>
  </si>
  <si>
    <t>PFR</t>
  </si>
  <si>
    <t>Lucas Jones</t>
  </si>
  <si>
    <t>M45</t>
  </si>
  <si>
    <t>F18</t>
  </si>
  <si>
    <t>Mary Jones</t>
  </si>
  <si>
    <t>F45</t>
  </si>
  <si>
    <t>Sam Monteath</t>
  </si>
  <si>
    <t>Stevie Knowles</t>
  </si>
  <si>
    <t>Paul Hills and Isla</t>
  </si>
  <si>
    <t>Sweaty drip</t>
  </si>
  <si>
    <t>Dave Ahearn</t>
  </si>
  <si>
    <t>Laura Ahearn</t>
  </si>
  <si>
    <t>Marple</t>
  </si>
  <si>
    <t>Werneth Slow</t>
  </si>
  <si>
    <t>Ita Kelly</t>
  </si>
  <si>
    <t>F55</t>
  </si>
  <si>
    <t>Miss PentYouf</t>
  </si>
  <si>
    <t>Tim Oliver</t>
  </si>
  <si>
    <t>Virtual MQFR</t>
  </si>
  <si>
    <t>Marc Pursell</t>
  </si>
  <si>
    <t>Morning run</t>
  </si>
  <si>
    <t>Nearly not, The May Queen</t>
  </si>
  <si>
    <t>U/A</t>
  </si>
  <si>
    <t>Royal (Slow) Coach</t>
  </si>
  <si>
    <t>Alison Brentnall</t>
  </si>
  <si>
    <t>Alison's MQ route</t>
  </si>
  <si>
    <t>Is there cake at the top</t>
  </si>
  <si>
    <t>Vurtual May Queen</t>
  </si>
  <si>
    <t>Paul Filby</t>
  </si>
  <si>
    <t>Not Knott (Who's there?)</t>
  </si>
  <si>
    <t>Andy Campbell</t>
  </si>
  <si>
    <t>MS</t>
  </si>
  <si>
    <t>Andy Campbell's horrendous rep route</t>
  </si>
  <si>
    <t>Laura Iredale</t>
  </si>
  <si>
    <t>Laura Iredale's not as horrendous rep route</t>
  </si>
  <si>
    <t>Jo Dunn</t>
  </si>
  <si>
    <t>Phoside flop</t>
  </si>
  <si>
    <t>F50</t>
  </si>
  <si>
    <t>Alan Brentnall</t>
  </si>
  <si>
    <t>"Brian May" Queen Tribute Race</t>
  </si>
  <si>
    <t>Photo</t>
  </si>
  <si>
    <t>Yes</t>
  </si>
  <si>
    <t>distance corr</t>
  </si>
  <si>
    <t>Dist correction</t>
  </si>
  <si>
    <t>height factor</t>
  </si>
  <si>
    <t>Joanne Ellis</t>
  </si>
  <si>
    <t>Route name/runner name</t>
  </si>
  <si>
    <t>Definitely not, not the May Queen</t>
  </si>
  <si>
    <t>May Queen Brian</t>
  </si>
  <si>
    <t>Kieran Smallbone</t>
  </si>
  <si>
    <t>Home schooling</t>
  </si>
  <si>
    <t>Wilf D'Cruz</t>
  </si>
  <si>
    <t>M6</t>
  </si>
  <si>
    <t>Steve Temple</t>
  </si>
  <si>
    <t>KFR</t>
  </si>
  <si>
    <t>F40</t>
  </si>
  <si>
    <t>Helen Davis</t>
  </si>
  <si>
    <t>Julia Davis</t>
  </si>
  <si>
    <t>F6</t>
  </si>
  <si>
    <t>Matching fairy wings</t>
  </si>
  <si>
    <t>May Queen (not) race</t>
  </si>
  <si>
    <t>M40?</t>
  </si>
  <si>
    <t>M50?</t>
  </si>
  <si>
    <t>F70</t>
  </si>
  <si>
    <t>Apple Trees in Watford? Liars</t>
  </si>
  <si>
    <t>M60/D17</t>
  </si>
  <si>
    <t>I wish I'd decided earlier</t>
  </si>
  <si>
    <t>2nd</t>
  </si>
  <si>
    <t>3rd</t>
  </si>
  <si>
    <t>M50</t>
  </si>
  <si>
    <t>M70</t>
  </si>
  <si>
    <t>1st</t>
  </si>
  <si>
    <t>F8</t>
  </si>
  <si>
    <t>Canine</t>
  </si>
  <si>
    <t>Isla Hills</t>
  </si>
  <si>
    <t>Real prizes</t>
  </si>
  <si>
    <t>Fastest adjusted time</t>
  </si>
  <si>
    <t>Fastest time with a dog</t>
  </si>
  <si>
    <t>Paul and Isla Hills</t>
  </si>
  <si>
    <t>Fastest siblings</t>
  </si>
  <si>
    <t>Amy and Lucy Whelan</t>
  </si>
  <si>
    <t>Fastest parent and child</t>
  </si>
  <si>
    <t>Kieran and Wilf</t>
  </si>
  <si>
    <t>Best pair of fairy wings</t>
  </si>
  <si>
    <t>Helen and Julia</t>
  </si>
  <si>
    <t>Best race names</t>
  </si>
  <si>
    <t>Brian May Queen Tribute race</t>
  </si>
  <si>
    <t>Best runner name</t>
  </si>
  <si>
    <t>Lert</t>
  </si>
  <si>
    <t>Best photo shopped 'hat'</t>
  </si>
  <si>
    <t>Brian Brentnall</t>
  </si>
  <si>
    <t>Best hats</t>
  </si>
  <si>
    <t>Jo Dunn and Mark Fermer</t>
  </si>
  <si>
    <t>Wonkiest photo</t>
  </si>
  <si>
    <t>Smiliest photo</t>
  </si>
  <si>
    <t>Julia</t>
  </si>
  <si>
    <t>Men's virtual results</t>
  </si>
  <si>
    <t>Ladies virtual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</si>
</sst>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2" fontId="0" fillId="0" borderId="0" xfId="0" applyNumberFormat="1"/>
    <xf numFmtId="18" fontId="0" fillId="0" borderId="0" xfId="0" applyNumberFormat="1"/>
    <xf numFmtId="16" fontId="0" fillId="0" borderId="1" xfId="0" applyNumberFormat="1" applyBorder="1"/>
    <xf numFmtId="46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18" fontId="0" fillId="0" borderId="1" xfId="0" applyNumberFormat="1" applyBorder="1"/>
    <xf numFmtId="0" fontId="0" fillId="0" borderId="1" xfId="0" applyFill="1" applyBorder="1"/>
    <xf numFmtId="0" fontId="0" fillId="0" borderId="1" xfId="0" quotePrefix="1" applyFill="1" applyBorder="1"/>
    <xf numFmtId="0" fontId="0" fillId="0" borderId="0" xfId="0" quotePrefix="1" applyFill="1" applyBorder="1"/>
    <xf numFmtId="0" fontId="0" fillId="0" borderId="0" xfId="0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Climb adjustment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15500804334942003"/>
                  <c:y val="0.2526776590230296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800" baseline="0"/>
                      <a:t>y = 0.0711x + 2.1189</a:t>
                    </a:r>
                    <a:endParaRPr lang="en-US" sz="18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cat>
            <c:numRef>
              <c:f>Sheet1!$B$57:$B$77</c:f>
              <c:numCache>
                <c:formatCode>General</c:formatCode>
                <c:ptCount val="2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</c:numCache>
            </c:numRef>
          </c:cat>
          <c:val>
            <c:numRef>
              <c:f>Sheet1!$C$57:$C$77</c:f>
              <c:numCache>
                <c:formatCode>General</c:formatCode>
                <c:ptCount val="21"/>
                <c:pt idx="0">
                  <c:v>2.19</c:v>
                </c:pt>
                <c:pt idx="1">
                  <c:v>2.2610999999999999</c:v>
                </c:pt>
                <c:pt idx="2">
                  <c:v>2.3321999999999998</c:v>
                </c:pt>
                <c:pt idx="3">
                  <c:v>2.4032999999999998</c:v>
                </c:pt>
                <c:pt idx="4">
                  <c:v>2.4743999999999997</c:v>
                </c:pt>
                <c:pt idx="5">
                  <c:v>2.5454999999999997</c:v>
                </c:pt>
                <c:pt idx="6">
                  <c:v>2.6165999999999996</c:v>
                </c:pt>
                <c:pt idx="7">
                  <c:v>2.6876999999999995</c:v>
                </c:pt>
                <c:pt idx="8">
                  <c:v>2.7587999999999995</c:v>
                </c:pt>
                <c:pt idx="9">
                  <c:v>2.8298999999999994</c:v>
                </c:pt>
                <c:pt idx="10">
                  <c:v>2.9009999999999994</c:v>
                </c:pt>
                <c:pt idx="11">
                  <c:v>2.9720999999999993</c:v>
                </c:pt>
                <c:pt idx="12">
                  <c:v>3.0431999999999992</c:v>
                </c:pt>
                <c:pt idx="13">
                  <c:v>3.1142999999999992</c:v>
                </c:pt>
                <c:pt idx="14">
                  <c:v>3.1853999999999991</c:v>
                </c:pt>
                <c:pt idx="15">
                  <c:v>3.2564999999999991</c:v>
                </c:pt>
                <c:pt idx="16">
                  <c:v>3.327599999999999</c:v>
                </c:pt>
                <c:pt idx="17">
                  <c:v>3.3986999999999989</c:v>
                </c:pt>
                <c:pt idx="18">
                  <c:v>3.4697999999999989</c:v>
                </c:pt>
                <c:pt idx="19">
                  <c:v>3.5408999999999988</c:v>
                </c:pt>
                <c:pt idx="20">
                  <c:v>3.6119999999999988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7C-144F-A168-7ED4575EC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3847263"/>
        <c:axId val="779245103"/>
      </c:lineChart>
      <c:catAx>
        <c:axId val="7738472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#,##0;\-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9245103"/>
        <c:crossesAt val="0"/>
        <c:auto val="1"/>
        <c:lblAlgn val="ctr"/>
        <c:lblOffset val="100"/>
        <c:noMultiLvlLbl val="0"/>
      </c:catAx>
      <c:valAx>
        <c:axId val="779245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3847263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355600</xdr:colOff>
      <xdr:row>56</xdr:row>
      <xdr:rowOff>177800</xdr:rowOff>
    </xdr:from>
    <xdr:to>
      <xdr:col>13</xdr:col>
      <xdr:colOff>254000</xdr:colOff>
      <xdr:row>76</xdr:row>
      <xdr:rowOff>165100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F6F1A62-BDE3-A54E-9B95-97A053AB55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177800</xdr:colOff>
      <xdr:row>53</xdr:row>
      <xdr:rowOff>114300</xdr:rowOff>
    </xdr:from>
    <xdr:to>
      <xdr:col>6</xdr:col>
      <xdr:colOff>482600</xdr:colOff>
      <xdr:row>54</xdr:row>
      <xdr:rowOff>177800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2C56214-CD58-2149-B416-CA1251FEFF81}"/>
            </a:ext>
          </a:extLst>
        </xdr:cNvPr>
        <xdr:cNvSpPr txBox="1"/>
      </xdr:nvSpPr>
      <xdr:spPr>
        <a:xfrm>
          <a:off x="5600700" y="10680700"/>
          <a:ext cx="113030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Sec per m</a:t>
          </a:r>
        </a:p>
        <a:p>
          <a:endParaRPr lang="en-GB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0.01792</cdr:x>
      <cdr:y>0.02508</cdr:y>
    </cdr:from>
    <cdr:to>
      <cdr:x>0.17384</cdr:x>
      <cdr:y>0.09404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CD6CA35F-43D0-C043-9176-4136728ADE3D}"/>
            </a:ext>
          </a:extLst>
        </cdr:cNvPr>
        <cdr:cNvSpPr txBox="1"/>
      </cdr:nvSpPr>
      <cdr:spPr>
        <a:xfrm xmlns:a="http://schemas.openxmlformats.org/drawingml/2006/main">
          <a:off x="127000" y="101600"/>
          <a:ext cx="1104900" cy="279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0.69713</cdr:x>
      <cdr:y>0.81191</cdr:y>
    </cdr:from>
    <cdr:to>
      <cdr:x>0.96595</cdr:x>
      <cdr:y>0.88715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A5577DD5-6B3F-0940-8E67-54F24DEA89FD}"/>
            </a:ext>
          </a:extLst>
        </cdr:cNvPr>
        <cdr:cNvSpPr txBox="1"/>
      </cdr:nvSpPr>
      <cdr:spPr>
        <a:xfrm xmlns:a="http://schemas.openxmlformats.org/drawingml/2006/main">
          <a:off x="4940300" y="3289300"/>
          <a:ext cx="19050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Time in min</a:t>
          </a:r>
        </a:p>
        <a:p xmlns:a="http://schemas.openxmlformats.org/drawingml/2006/main">
          <a:endParaRPr lang="en-GB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95E2C-A46B-0D46-8071-718078283F2F}">
  <dimension ref="A1:U88"/>
  <sheetViews>
    <sheetView tabSelected="1" workbookViewId="0">
      <selection activeCell="O42" sqref="O42:S54"/>
    </sheetView>
  </sheetViews>
  <sheetFormatPr baseColWidth="10" defaultRowHeight="16" x14ac:dyDescent="0.2"/>
  <cols>
    <col min="3" max="3" width="18" bestFit="1" customWidth="1"/>
    <col min="4" max="4" width="20.6640625" customWidth="1"/>
    <col min="7" max="7" width="32" bestFit="1" customWidth="1"/>
    <col min="8" max="8" width="10.83203125" customWidth="1"/>
    <col min="9" max="9" width="14" customWidth="1"/>
    <col min="10" max="10" width="10.83203125" customWidth="1"/>
    <col min="11" max="12" width="11" customWidth="1"/>
    <col min="13" max="13" width="10.83203125" customWidth="1"/>
    <col min="14" max="14" width="4.6640625" customWidth="1"/>
    <col min="15" max="15" width="7" customWidth="1"/>
    <col min="16" max="16" width="9.1640625" customWidth="1"/>
    <col min="17" max="17" width="9.6640625" customWidth="1"/>
    <col min="18" max="18" width="10.83203125" customWidth="1"/>
    <col min="19" max="19" width="14.1640625" customWidth="1"/>
    <col min="20" max="20" width="12.6640625" bestFit="1" customWidth="1"/>
  </cols>
  <sheetData>
    <row r="1" spans="1:21" x14ac:dyDescent="0.2">
      <c r="A1" t="s">
        <v>0</v>
      </c>
    </row>
    <row r="2" spans="1:21" x14ac:dyDescent="0.2">
      <c r="A2" s="1" t="s">
        <v>1</v>
      </c>
      <c r="B2" s="1" t="s">
        <v>2</v>
      </c>
      <c r="C2" s="1" t="s">
        <v>3</v>
      </c>
      <c r="D2" s="1" t="s">
        <v>17</v>
      </c>
      <c r="E2" s="1" t="s">
        <v>4</v>
      </c>
      <c r="F2" s="1" t="s">
        <v>19</v>
      </c>
      <c r="G2" s="1" t="s">
        <v>95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91</v>
      </c>
      <c r="M2" s="1" t="s">
        <v>89</v>
      </c>
      <c r="O2" t="s">
        <v>30</v>
      </c>
      <c r="P2" t="s">
        <v>29</v>
      </c>
      <c r="Q2" t="s">
        <v>92</v>
      </c>
      <c r="R2" t="s">
        <v>28</v>
      </c>
      <c r="S2" t="s">
        <v>93</v>
      </c>
      <c r="T2" t="s">
        <v>27</v>
      </c>
    </row>
    <row r="3" spans="1:21" x14ac:dyDescent="0.2">
      <c r="A3" s="1">
        <v>1</v>
      </c>
      <c r="B3" s="1">
        <v>6</v>
      </c>
      <c r="C3" s="1" t="s">
        <v>15</v>
      </c>
      <c r="D3" s="1"/>
      <c r="E3" s="1" t="s">
        <v>49</v>
      </c>
      <c r="F3" s="1" t="s">
        <v>46</v>
      </c>
      <c r="G3" s="1" t="s">
        <v>16</v>
      </c>
      <c r="H3" s="1">
        <v>4.7</v>
      </c>
      <c r="I3" s="1">
        <v>200</v>
      </c>
      <c r="J3" s="4">
        <v>43972</v>
      </c>
      <c r="K3" s="5">
        <f>TIME(0,23,1)</f>
        <v>1.5983796296296295E-2</v>
      </c>
      <c r="L3" s="6">
        <v>0</v>
      </c>
      <c r="M3" s="1"/>
      <c r="N3" s="1"/>
      <c r="O3" s="1">
        <v>23</v>
      </c>
      <c r="P3" s="1">
        <v>1</v>
      </c>
      <c r="Q3" s="6">
        <f>P3+L3</f>
        <v>1</v>
      </c>
      <c r="R3" s="1">
        <v>200</v>
      </c>
      <c r="S3" s="1">
        <f>((O3+(P3/60))*0.0711+2.1189)</f>
        <v>3.7553849999999995</v>
      </c>
      <c r="T3" s="6">
        <f>((O3*60+Q3+S3*(200-R3))/60)</f>
        <v>23.016666666666666</v>
      </c>
      <c r="U3" s="1" t="s">
        <v>15</v>
      </c>
    </row>
    <row r="4" spans="1:21" x14ac:dyDescent="0.2">
      <c r="A4" s="1">
        <v>2</v>
      </c>
      <c r="B4" s="1">
        <v>16</v>
      </c>
      <c r="C4" s="1" t="s">
        <v>50</v>
      </c>
      <c r="D4" s="1"/>
      <c r="E4" s="1" t="s">
        <v>14</v>
      </c>
      <c r="F4" s="1" t="s">
        <v>51</v>
      </c>
      <c r="G4" s="1" t="s">
        <v>109</v>
      </c>
      <c r="H4" s="6">
        <f>2.9*8/5</f>
        <v>4.6399999999999997</v>
      </c>
      <c r="I4" s="7">
        <f>0.3048*591</f>
        <v>180.13680000000002</v>
      </c>
      <c r="J4" s="1"/>
      <c r="K4" s="5">
        <f>TIME(0,22,26)</f>
        <v>1.5578703703703704E-2</v>
      </c>
      <c r="L4" s="6">
        <v>0</v>
      </c>
      <c r="M4" s="1"/>
      <c r="N4" s="1"/>
      <c r="O4" s="1">
        <v>22</v>
      </c>
      <c r="P4" s="1">
        <v>26</v>
      </c>
      <c r="Q4" s="6">
        <f>P4+L4</f>
        <v>26</v>
      </c>
      <c r="R4" s="1">
        <v>180</v>
      </c>
      <c r="S4" s="1">
        <f>((O4+(P4/60))*0.0711+2.1189)</f>
        <v>3.7139100000000003</v>
      </c>
      <c r="T4" s="6">
        <f>((O4*60+Q4+S4*(200-R4))/60)</f>
        <v>23.671303333333334</v>
      </c>
      <c r="U4" s="1" t="s">
        <v>50</v>
      </c>
    </row>
    <row r="5" spans="1:21" x14ac:dyDescent="0.2">
      <c r="A5" s="1">
        <v>3</v>
      </c>
      <c r="B5" s="1">
        <v>21</v>
      </c>
      <c r="C5" s="1" t="s">
        <v>59</v>
      </c>
      <c r="D5" s="1"/>
      <c r="E5" s="1" t="s">
        <v>49</v>
      </c>
      <c r="F5" s="1" t="s">
        <v>46</v>
      </c>
      <c r="G5" s="1" t="s">
        <v>62</v>
      </c>
      <c r="H5" s="1">
        <v>4.7300000000000004</v>
      </c>
      <c r="I5" s="1">
        <v>195</v>
      </c>
      <c r="J5" s="4">
        <v>43971</v>
      </c>
      <c r="K5" s="5">
        <f>TIME(0,23,36)</f>
        <v>1.638888888888889E-2</v>
      </c>
      <c r="L5" s="6">
        <v>0</v>
      </c>
      <c r="M5" s="1"/>
      <c r="N5" s="1"/>
      <c r="O5" s="1">
        <v>23</v>
      </c>
      <c r="P5" s="1">
        <v>36</v>
      </c>
      <c r="Q5" s="6">
        <f>P5+L5</f>
        <v>36</v>
      </c>
      <c r="R5" s="1">
        <v>195</v>
      </c>
      <c r="S5" s="1">
        <f>((O5+(P5/60))*0.0711+2.1189)</f>
        <v>3.7968600000000001</v>
      </c>
      <c r="T5" s="6">
        <f>((O5*60+Q5+S5*(200-R5))/60)</f>
        <v>23.916405000000001</v>
      </c>
      <c r="U5" s="1" t="s">
        <v>59</v>
      </c>
    </row>
    <row r="6" spans="1:21" x14ac:dyDescent="0.2">
      <c r="A6" s="1">
        <v>4</v>
      </c>
      <c r="B6" s="1">
        <v>24</v>
      </c>
      <c r="C6" s="1" t="s">
        <v>66</v>
      </c>
      <c r="D6" s="1"/>
      <c r="E6" s="1" t="s">
        <v>49</v>
      </c>
      <c r="F6" s="1" t="s">
        <v>111</v>
      </c>
      <c r="G6" s="1" t="s">
        <v>67</v>
      </c>
      <c r="H6" s="1">
        <v>4.3</v>
      </c>
      <c r="I6" s="1">
        <v>210</v>
      </c>
      <c r="J6" s="1"/>
      <c r="K6" s="5">
        <f>TIME(0,23,50)</f>
        <v>1.6550925925925924E-2</v>
      </c>
      <c r="L6" s="6">
        <v>80</v>
      </c>
      <c r="M6" s="1"/>
      <c r="N6" s="1"/>
      <c r="O6" s="1">
        <v>23</v>
      </c>
      <c r="P6" s="1">
        <v>50</v>
      </c>
      <c r="Q6" s="6">
        <f>P6+L6</f>
        <v>130</v>
      </c>
      <c r="R6" s="1">
        <v>210</v>
      </c>
      <c r="S6" s="1">
        <f>((O6+(P6/60))*0.0711+2.1189)</f>
        <v>3.8134499999999996</v>
      </c>
      <c r="T6" s="6">
        <f>((O6*60+Q6+S6*(200-R6))/60)</f>
        <v>24.531091666666669</v>
      </c>
      <c r="U6" s="1" t="s">
        <v>66</v>
      </c>
    </row>
    <row r="7" spans="1:21" x14ac:dyDescent="0.2">
      <c r="A7" s="1">
        <v>5</v>
      </c>
      <c r="B7" s="1">
        <v>14</v>
      </c>
      <c r="C7" s="1" t="s">
        <v>47</v>
      </c>
      <c r="D7" s="1"/>
      <c r="E7" s="1" t="s">
        <v>49</v>
      </c>
      <c r="F7" s="1" t="s">
        <v>20</v>
      </c>
      <c r="G7" s="1" t="s">
        <v>76</v>
      </c>
      <c r="H7" s="1">
        <v>5</v>
      </c>
      <c r="I7" s="1">
        <v>300</v>
      </c>
      <c r="J7" s="4">
        <v>43972</v>
      </c>
      <c r="K7" s="5">
        <f>TIME(0,33,35)</f>
        <v>2.3321759259259261E-2</v>
      </c>
      <c r="L7" s="6">
        <v>-50</v>
      </c>
      <c r="M7" s="1"/>
      <c r="N7" s="1"/>
      <c r="O7" s="1">
        <v>33</v>
      </c>
      <c r="P7" s="1">
        <v>35</v>
      </c>
      <c r="Q7" s="6">
        <f>P7+L7</f>
        <v>-15</v>
      </c>
      <c r="R7" s="1">
        <v>300</v>
      </c>
      <c r="S7" s="1">
        <f>((O7+(P7/60))*0.0711+2.1189)</f>
        <v>4.5066749999999995</v>
      </c>
      <c r="T7" s="6">
        <f>((O7*60+Q7+S7*(200-R7))/60)</f>
        <v>25.238875</v>
      </c>
      <c r="U7" s="1" t="s">
        <v>47</v>
      </c>
    </row>
    <row r="8" spans="1:21" x14ac:dyDescent="0.2">
      <c r="A8" s="1">
        <v>6</v>
      </c>
      <c r="B8" s="1">
        <v>11</v>
      </c>
      <c r="C8" s="1" t="s">
        <v>38</v>
      </c>
      <c r="D8" s="1"/>
      <c r="E8" s="1" t="s">
        <v>49</v>
      </c>
      <c r="F8" s="1" t="s">
        <v>39</v>
      </c>
      <c r="G8" s="1" t="s">
        <v>113</v>
      </c>
      <c r="H8" s="1">
        <f>2.9*8/5</f>
        <v>4.6399999999999997</v>
      </c>
      <c r="I8" s="7">
        <f>0.3048*689</f>
        <v>210.00720000000001</v>
      </c>
      <c r="J8" s="1"/>
      <c r="K8" s="5">
        <f>TIME(0,26,12)</f>
        <v>1.8194444444444444E-2</v>
      </c>
      <c r="L8" s="6">
        <v>0</v>
      </c>
      <c r="M8" s="1"/>
      <c r="N8" s="1"/>
      <c r="O8" s="1">
        <v>26</v>
      </c>
      <c r="P8" s="1">
        <v>12</v>
      </c>
      <c r="Q8" s="6">
        <f>P8+L8</f>
        <v>12</v>
      </c>
      <c r="R8" s="1">
        <v>210</v>
      </c>
      <c r="S8" s="1">
        <f>((O8+(P8/60))*0.0711+2.1189)</f>
        <v>3.9817200000000001</v>
      </c>
      <c r="T8" s="6">
        <f>((O8*60+Q8+S8*(200-R8))/60)</f>
        <v>25.536380000000001</v>
      </c>
      <c r="U8" s="1" t="s">
        <v>38</v>
      </c>
    </row>
    <row r="9" spans="1:21" x14ac:dyDescent="0.2">
      <c r="A9" s="1">
        <v>7</v>
      </c>
      <c r="B9" s="1">
        <v>15</v>
      </c>
      <c r="C9" s="1" t="s">
        <v>48</v>
      </c>
      <c r="D9" s="1"/>
      <c r="E9" s="1" t="s">
        <v>49</v>
      </c>
      <c r="F9" s="1" t="s">
        <v>52</v>
      </c>
      <c r="G9" s="1" t="s">
        <v>115</v>
      </c>
      <c r="H9" s="1">
        <v>5</v>
      </c>
      <c r="I9" s="1">
        <v>300</v>
      </c>
      <c r="J9" s="4">
        <v>43972</v>
      </c>
      <c r="K9" s="5">
        <f>TIME(0,39,35)</f>
        <v>2.7488425925925927E-2</v>
      </c>
      <c r="L9" s="6">
        <v>-30</v>
      </c>
      <c r="M9" s="1"/>
      <c r="N9" s="1"/>
      <c r="O9" s="1">
        <v>33</v>
      </c>
      <c r="P9" s="1">
        <v>35</v>
      </c>
      <c r="Q9" s="6">
        <f>P9+L9</f>
        <v>5</v>
      </c>
      <c r="R9" s="1">
        <v>300</v>
      </c>
      <c r="S9" s="1">
        <f>((O9+(P9/60))*0.0711+2.1189)</f>
        <v>4.5066749999999995</v>
      </c>
      <c r="T9" s="6">
        <f>((O9*60+Q9+S9*(200-R9))/60)</f>
        <v>25.572208333333332</v>
      </c>
      <c r="U9" s="1" t="s">
        <v>48</v>
      </c>
    </row>
    <row r="10" spans="1:21" x14ac:dyDescent="0.2">
      <c r="A10" s="1">
        <v>8</v>
      </c>
      <c r="B10" s="1">
        <v>19</v>
      </c>
      <c r="C10" s="1" t="s">
        <v>56</v>
      </c>
      <c r="D10" s="1"/>
      <c r="E10" s="1" t="s">
        <v>49</v>
      </c>
      <c r="F10" s="1" t="s">
        <v>46</v>
      </c>
      <c r="G10" s="1"/>
      <c r="H10" s="6">
        <f>2.8*8/5</f>
        <v>4.4799999999999995</v>
      </c>
      <c r="I10" s="7">
        <f>0.3048*489</f>
        <v>149.0472</v>
      </c>
      <c r="J10" s="4">
        <v>43971</v>
      </c>
      <c r="K10" s="5">
        <f>TIME(0,22,36)</f>
        <v>1.5694444444444445E-2</v>
      </c>
      <c r="L10" s="6">
        <v>20</v>
      </c>
      <c r="M10" s="1"/>
      <c r="N10" s="1"/>
      <c r="O10" s="1">
        <v>22</v>
      </c>
      <c r="P10" s="1">
        <v>36</v>
      </c>
      <c r="Q10" s="6">
        <f>P10+L10</f>
        <v>56</v>
      </c>
      <c r="R10" s="1">
        <v>149</v>
      </c>
      <c r="S10" s="1">
        <f>((O10+(P10/60))*0.0711+2.1189)</f>
        <v>3.7257600000000002</v>
      </c>
      <c r="T10" s="6">
        <f>((O10*60+Q10+S10*(200-R10))/60)</f>
        <v>26.100229333333335</v>
      </c>
      <c r="U10" s="1" t="s">
        <v>56</v>
      </c>
    </row>
    <row r="11" spans="1:21" x14ac:dyDescent="0.2">
      <c r="A11" s="1">
        <v>9</v>
      </c>
      <c r="B11" s="1">
        <v>7</v>
      </c>
      <c r="C11" s="1" t="s">
        <v>12</v>
      </c>
      <c r="D11" s="1"/>
      <c r="E11" s="1" t="s">
        <v>14</v>
      </c>
      <c r="F11" s="1" t="s">
        <v>20</v>
      </c>
      <c r="G11" s="1" t="s">
        <v>58</v>
      </c>
      <c r="H11" s="6">
        <f>3.18*8/5</f>
        <v>5.0880000000000001</v>
      </c>
      <c r="I11" s="7">
        <v>232</v>
      </c>
      <c r="J11" s="4">
        <v>43971</v>
      </c>
      <c r="K11" s="5">
        <f>TIME(0,26,58)</f>
        <v>1.8726851851851852E-2</v>
      </c>
      <c r="L11" s="6">
        <v>-50</v>
      </c>
      <c r="M11" s="1"/>
      <c r="N11" s="1"/>
      <c r="O11" s="1">
        <v>26</v>
      </c>
      <c r="P11" s="1">
        <v>58</v>
      </c>
      <c r="Q11" s="6">
        <f>P11+L11</f>
        <v>8</v>
      </c>
      <c r="R11" s="1">
        <v>200</v>
      </c>
      <c r="S11" s="1">
        <f>((O11+(P11/60))*0.0711+2.1189)</f>
        <v>4.0362299999999998</v>
      </c>
      <c r="T11" s="6">
        <f>((O11*60+Q11+S11*(200-R11))/60)</f>
        <v>26.133333333333333</v>
      </c>
      <c r="U11" s="1" t="s">
        <v>12</v>
      </c>
    </row>
    <row r="12" spans="1:21" x14ac:dyDescent="0.2">
      <c r="A12" s="1">
        <v>10</v>
      </c>
      <c r="B12" s="9">
        <v>32</v>
      </c>
      <c r="C12" s="9" t="s">
        <v>94</v>
      </c>
      <c r="D12" s="10" t="s">
        <v>97</v>
      </c>
      <c r="E12" s="9" t="s">
        <v>49</v>
      </c>
      <c r="F12" s="9" t="s">
        <v>39</v>
      </c>
      <c r="G12" s="10" t="s">
        <v>96</v>
      </c>
      <c r="H12" s="9">
        <v>4.66</v>
      </c>
      <c r="I12" s="9">
        <v>172</v>
      </c>
      <c r="J12" s="1"/>
      <c r="K12" s="5">
        <f>TIME(0,25,0)</f>
        <v>1.7361111111111112E-2</v>
      </c>
      <c r="L12" s="6">
        <v>0</v>
      </c>
      <c r="M12" s="1"/>
      <c r="N12" s="1"/>
      <c r="O12" s="1">
        <v>25</v>
      </c>
      <c r="P12" s="1">
        <v>0</v>
      </c>
      <c r="Q12" s="6">
        <f>P12+L12</f>
        <v>0</v>
      </c>
      <c r="R12" s="1">
        <v>172</v>
      </c>
      <c r="S12" s="1">
        <f>((O12+(P12/60))*0.0711+2.1189)</f>
        <v>3.8963999999999999</v>
      </c>
      <c r="T12" s="6">
        <f>((O12*60+Q12+S12*(200-R12))/60)</f>
        <v>26.818320000000003</v>
      </c>
      <c r="U12" s="9" t="s">
        <v>94</v>
      </c>
    </row>
    <row r="13" spans="1:21" x14ac:dyDescent="0.2">
      <c r="A13" s="1">
        <v>11</v>
      </c>
      <c r="B13" s="1">
        <v>18</v>
      </c>
      <c r="C13" s="1" t="s">
        <v>55</v>
      </c>
      <c r="D13" s="1"/>
      <c r="E13" s="1" t="s">
        <v>71</v>
      </c>
      <c r="F13" s="1" t="s">
        <v>46</v>
      </c>
      <c r="G13" s="1" t="s">
        <v>70</v>
      </c>
      <c r="H13" s="1">
        <v>4.5</v>
      </c>
      <c r="I13" s="1">
        <v>203</v>
      </c>
      <c r="J13" s="1"/>
      <c r="K13" s="5">
        <f>TIME(0,26,58)</f>
        <v>1.8726851851851852E-2</v>
      </c>
      <c r="L13" s="6">
        <v>25</v>
      </c>
      <c r="M13" s="1"/>
      <c r="N13" s="1"/>
      <c r="O13" s="1">
        <v>26</v>
      </c>
      <c r="P13" s="1">
        <v>58</v>
      </c>
      <c r="Q13" s="6">
        <f>P13+L13</f>
        <v>83</v>
      </c>
      <c r="R13" s="1">
        <v>203</v>
      </c>
      <c r="S13" s="1">
        <f>((O13+(P13/60))*0.0711+2.1189)</f>
        <v>4.0362299999999998</v>
      </c>
      <c r="T13" s="6">
        <f>((O13*60+Q13+S13*(200-R13))/60)</f>
        <v>27.181521833333331</v>
      </c>
      <c r="U13" s="1" t="s">
        <v>55</v>
      </c>
    </row>
    <row r="14" spans="1:21" x14ac:dyDescent="0.2">
      <c r="A14" s="1">
        <v>12</v>
      </c>
      <c r="B14" s="1">
        <v>25</v>
      </c>
      <c r="C14" s="1" t="s">
        <v>68</v>
      </c>
      <c r="D14" s="1"/>
      <c r="E14" s="1" t="s">
        <v>49</v>
      </c>
      <c r="F14" s="1" t="s">
        <v>110</v>
      </c>
      <c r="G14" s="1" t="s">
        <v>69</v>
      </c>
      <c r="H14" s="1">
        <v>5.2</v>
      </c>
      <c r="I14" s="1">
        <v>200</v>
      </c>
      <c r="J14" s="1"/>
      <c r="K14" s="5">
        <f>TIME(0,28,43)</f>
        <v>1.9942129629629629E-2</v>
      </c>
      <c r="L14" s="6">
        <v>-80</v>
      </c>
      <c r="M14" s="1"/>
      <c r="N14" s="1"/>
      <c r="O14" s="1">
        <v>28</v>
      </c>
      <c r="P14" s="1">
        <v>43</v>
      </c>
      <c r="Q14" s="6">
        <f>P14+L14</f>
        <v>-37</v>
      </c>
      <c r="R14" s="1">
        <v>200</v>
      </c>
      <c r="S14" s="1">
        <f>((O14+(P14/60))*0.0711+2.1189)</f>
        <v>4.1606550000000002</v>
      </c>
      <c r="T14" s="6">
        <f>((O14*60+Q14+S14*(200-R14))/60)</f>
        <v>27.383333333333333</v>
      </c>
      <c r="U14" s="1" t="s">
        <v>68</v>
      </c>
    </row>
    <row r="15" spans="1:21" x14ac:dyDescent="0.2">
      <c r="A15" s="1">
        <v>13</v>
      </c>
      <c r="B15" s="1">
        <v>13</v>
      </c>
      <c r="C15" s="1" t="s">
        <v>43</v>
      </c>
      <c r="D15" s="1"/>
      <c r="E15" s="1" t="s">
        <v>49</v>
      </c>
      <c r="F15" s="1" t="s">
        <v>45</v>
      </c>
      <c r="G15" s="1" t="s">
        <v>44</v>
      </c>
      <c r="H15" s="1">
        <v>5.0999999999999996</v>
      </c>
      <c r="I15" s="1">
        <v>299</v>
      </c>
      <c r="J15" s="4">
        <v>43970</v>
      </c>
      <c r="K15" s="5">
        <f>TIME(0,36,28)</f>
        <v>2.5324074074074079E-2</v>
      </c>
      <c r="L15" s="6">
        <v>-75</v>
      </c>
      <c r="M15" s="1"/>
      <c r="N15" s="1"/>
      <c r="O15" s="1">
        <v>36</v>
      </c>
      <c r="P15" s="1">
        <v>28</v>
      </c>
      <c r="Q15" s="6">
        <f>P15+L15</f>
        <v>-47</v>
      </c>
      <c r="R15" s="1">
        <v>299</v>
      </c>
      <c r="S15" s="1">
        <f>((O15+(P15/60))*0.0711+2.1189)</f>
        <v>4.7116799999999994</v>
      </c>
      <c r="T15" s="6">
        <f>((O15*60+Q15+S15*(200-R15))/60)</f>
        <v>27.442394666666665</v>
      </c>
      <c r="U15" s="1" t="s">
        <v>43</v>
      </c>
    </row>
    <row r="16" spans="1:21" x14ac:dyDescent="0.2">
      <c r="A16" s="1">
        <v>14</v>
      </c>
      <c r="B16" s="1">
        <v>9</v>
      </c>
      <c r="C16" s="1" t="s">
        <v>31</v>
      </c>
      <c r="D16" s="1"/>
      <c r="E16" s="1" t="s">
        <v>32</v>
      </c>
      <c r="F16" s="1" t="s">
        <v>33</v>
      </c>
      <c r="G16" s="8" t="s">
        <v>75</v>
      </c>
      <c r="H16" s="6">
        <f>2.9*8/5</f>
        <v>4.6399999999999997</v>
      </c>
      <c r="I16" s="7">
        <f>0.3048*752</f>
        <v>229.20960000000002</v>
      </c>
      <c r="J16" s="4">
        <v>43972</v>
      </c>
      <c r="K16" s="5">
        <f>TIME(0,29,42)</f>
        <v>2.0625000000000001E-2</v>
      </c>
      <c r="L16" s="6">
        <v>0</v>
      </c>
      <c r="M16" s="1"/>
      <c r="N16" s="1"/>
      <c r="O16" s="1">
        <v>29</v>
      </c>
      <c r="P16" s="1">
        <v>42</v>
      </c>
      <c r="Q16" s="6">
        <f>P16+L16</f>
        <v>42</v>
      </c>
      <c r="R16" s="1">
        <v>229</v>
      </c>
      <c r="S16" s="1">
        <f>((O16+(P16/60))*0.0711+2.1189)</f>
        <v>4.2305700000000002</v>
      </c>
      <c r="T16" s="6">
        <f>((O16*60+Q16+S16*(200-R16))/60)</f>
        <v>27.655224499999999</v>
      </c>
      <c r="U16" s="1" t="s">
        <v>31</v>
      </c>
    </row>
    <row r="17" spans="1:21" x14ac:dyDescent="0.2">
      <c r="A17" s="1">
        <v>15</v>
      </c>
      <c r="B17" s="1">
        <v>1</v>
      </c>
      <c r="C17" s="1" t="s">
        <v>9</v>
      </c>
      <c r="D17" s="1"/>
      <c r="E17" s="1" t="s">
        <v>49</v>
      </c>
      <c r="F17" s="1" t="s">
        <v>20</v>
      </c>
      <c r="G17" s="1" t="s">
        <v>22</v>
      </c>
      <c r="H17" s="1">
        <v>4.76</v>
      </c>
      <c r="I17" s="1">
        <v>212</v>
      </c>
      <c r="J17" s="4">
        <v>43971</v>
      </c>
      <c r="K17" s="5">
        <f>TIME(0,29,44)</f>
        <v>2.0648148148148148E-2</v>
      </c>
      <c r="L17" s="6">
        <v>0</v>
      </c>
      <c r="M17" s="1"/>
      <c r="N17" s="1"/>
      <c r="O17" s="1">
        <v>29</v>
      </c>
      <c r="P17" s="6">
        <v>44</v>
      </c>
      <c r="Q17" s="6">
        <f>P17+L17</f>
        <v>44</v>
      </c>
      <c r="R17" s="1">
        <v>212</v>
      </c>
      <c r="S17" s="1">
        <f>((O17+(P17/60))*0.0711+2.1189)</f>
        <v>4.2329400000000001</v>
      </c>
      <c r="T17" s="6">
        <f>((O17*60+Q17+S17*(200-R17))/60)</f>
        <v>28.886745333333334</v>
      </c>
      <c r="U17" s="1" t="s">
        <v>9</v>
      </c>
    </row>
    <row r="18" spans="1:21" x14ac:dyDescent="0.2">
      <c r="A18" s="1">
        <v>16</v>
      </c>
      <c r="B18" s="9">
        <v>28</v>
      </c>
      <c r="C18" s="9" t="s">
        <v>79</v>
      </c>
      <c r="D18" s="1"/>
      <c r="E18" s="9" t="s">
        <v>49</v>
      </c>
      <c r="F18" s="1" t="s">
        <v>80</v>
      </c>
      <c r="G18" s="9" t="s">
        <v>81</v>
      </c>
      <c r="H18" s="9">
        <v>4.7</v>
      </c>
      <c r="I18" s="7">
        <f>0.3048*288</f>
        <v>87.78240000000001</v>
      </c>
      <c r="J18" s="8"/>
      <c r="K18" s="5">
        <f>TIME(0,22,22)</f>
        <v>1.5532407407407406E-2</v>
      </c>
      <c r="L18" s="6">
        <v>0</v>
      </c>
      <c r="M18" s="1"/>
      <c r="N18" s="1"/>
      <c r="O18" s="1">
        <v>22</v>
      </c>
      <c r="P18" s="1">
        <v>22</v>
      </c>
      <c r="Q18" s="6">
        <f>P18+L18</f>
        <v>22</v>
      </c>
      <c r="R18" s="1">
        <v>88</v>
      </c>
      <c r="S18" s="1">
        <f>((O18+(P18/60))*0.0711+2.1189)</f>
        <v>3.7091699999999999</v>
      </c>
      <c r="T18" s="6">
        <f>((O18*60+Q18+S18*(200-R18))/60)</f>
        <v>29.290450666666668</v>
      </c>
      <c r="U18" s="9" t="s">
        <v>79</v>
      </c>
    </row>
    <row r="19" spans="1:21" x14ac:dyDescent="0.2">
      <c r="A19" s="1">
        <v>17</v>
      </c>
      <c r="B19" s="9">
        <v>33</v>
      </c>
      <c r="C19" s="9" t="s">
        <v>98</v>
      </c>
      <c r="D19" s="1"/>
      <c r="E19" s="9" t="s">
        <v>14</v>
      </c>
      <c r="F19" s="9" t="s">
        <v>46</v>
      </c>
      <c r="G19" s="10" t="s">
        <v>99</v>
      </c>
      <c r="H19" s="9">
        <v>4.67</v>
      </c>
      <c r="I19" s="9">
        <v>195</v>
      </c>
      <c r="J19" s="1"/>
      <c r="K19" s="5">
        <f>TIME(0,29,41)</f>
        <v>2.0613425925925927E-2</v>
      </c>
      <c r="L19" s="6">
        <v>0</v>
      </c>
      <c r="M19" s="1"/>
      <c r="N19" s="1"/>
      <c r="O19" s="1">
        <v>29</v>
      </c>
      <c r="P19" s="1">
        <v>41</v>
      </c>
      <c r="Q19" s="6">
        <f>P19+L19</f>
        <v>41</v>
      </c>
      <c r="R19" s="1">
        <v>195</v>
      </c>
      <c r="S19" s="1">
        <f>((O19+(P19/60))*0.0711+2.1189)</f>
        <v>4.2293849999999997</v>
      </c>
      <c r="T19" s="6">
        <f>((O19*60+Q19+S19*(200-R19))/60)</f>
        <v>30.035782083333334</v>
      </c>
      <c r="U19" s="9" t="s">
        <v>98</v>
      </c>
    </row>
    <row r="20" spans="1:21" x14ac:dyDescent="0.2">
      <c r="A20" s="1">
        <v>18</v>
      </c>
      <c r="B20" s="9">
        <v>34</v>
      </c>
      <c r="C20" s="9" t="s">
        <v>100</v>
      </c>
      <c r="D20" s="1"/>
      <c r="E20" s="9" t="s">
        <v>14</v>
      </c>
      <c r="F20" s="9" t="s">
        <v>101</v>
      </c>
      <c r="G20" s="10" t="s">
        <v>99</v>
      </c>
      <c r="H20" s="9">
        <v>4.67</v>
      </c>
      <c r="I20" s="9">
        <v>195</v>
      </c>
      <c r="J20" s="1"/>
      <c r="K20" s="5">
        <f>TIME(0,29,41)</f>
        <v>2.0613425925925927E-2</v>
      </c>
      <c r="L20" s="6">
        <v>0</v>
      </c>
      <c r="M20" s="1"/>
      <c r="N20" s="1"/>
      <c r="O20" s="1">
        <v>29</v>
      </c>
      <c r="P20" s="1">
        <v>41</v>
      </c>
      <c r="Q20" s="6">
        <f>P20+L20</f>
        <v>41</v>
      </c>
      <c r="R20" s="1">
        <v>195</v>
      </c>
      <c r="S20" s="1">
        <f>((O20+(P20/60))*0.0711+2.1189)</f>
        <v>4.2293849999999997</v>
      </c>
      <c r="T20" s="6">
        <f>((O20*60+Q20+S20*(200-R20))/60)</f>
        <v>30.035782083333334</v>
      </c>
      <c r="U20" s="9" t="s">
        <v>100</v>
      </c>
    </row>
    <row r="21" spans="1:21" x14ac:dyDescent="0.2">
      <c r="A21" s="1">
        <v>19</v>
      </c>
      <c r="B21" s="1">
        <v>5</v>
      </c>
      <c r="C21" s="1" t="s">
        <v>11</v>
      </c>
      <c r="D21" s="1"/>
      <c r="E21" s="1" t="s">
        <v>49</v>
      </c>
      <c r="F21" s="1" t="s">
        <v>45</v>
      </c>
      <c r="G21" s="1"/>
      <c r="H21" s="6">
        <f>3.32*8/5</f>
        <v>5.3119999999999994</v>
      </c>
      <c r="I21" s="7">
        <f>0.3048*684</f>
        <v>208.48320000000001</v>
      </c>
      <c r="J21" s="1"/>
      <c r="K21" s="5">
        <f>TIME(0,33,41)</f>
        <v>2.3391203703703702E-2</v>
      </c>
      <c r="L21" s="6">
        <v>-150</v>
      </c>
      <c r="M21" s="1"/>
      <c r="N21" s="1"/>
      <c r="O21" s="1">
        <v>33</v>
      </c>
      <c r="P21" s="1">
        <v>41</v>
      </c>
      <c r="Q21" s="6">
        <f>P21+L21</f>
        <v>-109</v>
      </c>
      <c r="R21" s="1">
        <v>208</v>
      </c>
      <c r="S21" s="1">
        <f>((O21+(P21/60))*0.0711+2.1189)</f>
        <v>4.5137849999999995</v>
      </c>
      <c r="T21" s="6">
        <f>((O21*60+Q21+S21*(200-R21))/60)</f>
        <v>30.581495333333333</v>
      </c>
      <c r="U21" s="1" t="s">
        <v>11</v>
      </c>
    </row>
    <row r="22" spans="1:21" x14ac:dyDescent="0.2">
      <c r="A22" s="1">
        <v>20</v>
      </c>
      <c r="B22" s="1">
        <v>23</v>
      </c>
      <c r="C22" s="1" t="s">
        <v>63</v>
      </c>
      <c r="D22" s="1" t="s">
        <v>65</v>
      </c>
      <c r="E22" s="1" t="s">
        <v>14</v>
      </c>
      <c r="F22" s="1" t="s">
        <v>64</v>
      </c>
      <c r="G22" s="1" t="s">
        <v>65</v>
      </c>
      <c r="H22" s="1">
        <v>4.9000000000000004</v>
      </c>
      <c r="I22" s="1">
        <v>196</v>
      </c>
      <c r="J22" s="4">
        <v>43972</v>
      </c>
      <c r="K22" s="5">
        <f>TIME(0,31,33)</f>
        <v>2.1909722222222223E-2</v>
      </c>
      <c r="L22" s="6">
        <v>-30</v>
      </c>
      <c r="M22" s="1"/>
      <c r="N22" s="1"/>
      <c r="O22" s="1">
        <v>31</v>
      </c>
      <c r="P22" s="1">
        <v>33</v>
      </c>
      <c r="Q22" s="6">
        <f>P22+L22</f>
        <v>3</v>
      </c>
      <c r="R22" s="1">
        <v>196</v>
      </c>
      <c r="S22" s="1">
        <f>((O22+(P22/60))*0.0711+2.1189)</f>
        <v>4.3621049999999997</v>
      </c>
      <c r="T22" s="6">
        <f>((O22*60+Q22+S22*(200-R22))/60)</f>
        <v>31.340806999999998</v>
      </c>
      <c r="U22" s="1" t="s">
        <v>63</v>
      </c>
    </row>
    <row r="23" spans="1:21" x14ac:dyDescent="0.2">
      <c r="A23" s="1">
        <v>21</v>
      </c>
      <c r="B23" s="1">
        <v>17</v>
      </c>
      <c r="C23" s="1" t="s">
        <v>53</v>
      </c>
      <c r="D23" s="1"/>
      <c r="E23" s="1" t="s">
        <v>14</v>
      </c>
      <c r="F23" s="1" t="s">
        <v>54</v>
      </c>
      <c r="G23" s="1" t="s">
        <v>109</v>
      </c>
      <c r="H23" s="6">
        <v>4.7699999999999996</v>
      </c>
      <c r="I23" s="7">
        <v>199</v>
      </c>
      <c r="J23" s="1"/>
      <c r="K23" s="5">
        <f>TIME(0,31,34)</f>
        <v>2.1921296296296296E-2</v>
      </c>
      <c r="L23" s="6">
        <v>0</v>
      </c>
      <c r="M23" s="1"/>
      <c r="N23" s="1"/>
      <c r="O23" s="1">
        <v>31</v>
      </c>
      <c r="P23" s="1">
        <v>34</v>
      </c>
      <c r="Q23" s="6">
        <f>P23+L23</f>
        <v>34</v>
      </c>
      <c r="R23" s="1">
        <v>199</v>
      </c>
      <c r="S23" s="1">
        <f>((O23+(P23/60))*0.0711+2.1189)</f>
        <v>4.3632899999999992</v>
      </c>
      <c r="T23" s="6">
        <f>((O23*60+Q23+S23*(200-R23))/60)</f>
        <v>31.639388166666667</v>
      </c>
      <c r="U23" s="1" t="s">
        <v>53</v>
      </c>
    </row>
    <row r="24" spans="1:21" x14ac:dyDescent="0.2">
      <c r="A24" s="1">
        <v>22</v>
      </c>
      <c r="B24" s="9">
        <v>35</v>
      </c>
      <c r="C24" s="9" t="s">
        <v>102</v>
      </c>
      <c r="D24" s="1"/>
      <c r="E24" s="9" t="s">
        <v>103</v>
      </c>
      <c r="F24" s="9" t="s">
        <v>20</v>
      </c>
      <c r="G24" s="10"/>
      <c r="H24" s="9">
        <v>4.7</v>
      </c>
      <c r="I24" s="9">
        <v>200</v>
      </c>
      <c r="J24" s="1"/>
      <c r="K24" s="5">
        <f>TIME(0,32,2)</f>
        <v>2.224537037037037E-2</v>
      </c>
      <c r="L24" s="6">
        <v>0</v>
      </c>
      <c r="M24" s="1"/>
      <c r="N24" s="1"/>
      <c r="O24" s="1">
        <v>32</v>
      </c>
      <c r="P24" s="1">
        <v>2</v>
      </c>
      <c r="Q24" s="6">
        <f>P24+L24</f>
        <v>2</v>
      </c>
      <c r="R24" s="1">
        <v>200</v>
      </c>
      <c r="S24" s="1">
        <f>((O24+(P24/60))*0.0711+2.1189)</f>
        <v>4.3964699999999999</v>
      </c>
      <c r="T24" s="6">
        <f>((O24*60+Q24+S24*(200-R24))/60)</f>
        <v>32.033333333333331</v>
      </c>
      <c r="U24" s="9" t="s">
        <v>102</v>
      </c>
    </row>
    <row r="25" spans="1:21" x14ac:dyDescent="0.2">
      <c r="A25" s="1">
        <v>23</v>
      </c>
      <c r="B25" s="1">
        <v>27</v>
      </c>
      <c r="C25" s="1" t="s">
        <v>77</v>
      </c>
      <c r="D25" s="1"/>
      <c r="E25" s="1" t="s">
        <v>49</v>
      </c>
      <c r="F25" s="1" t="s">
        <v>51</v>
      </c>
      <c r="G25" s="1" t="s">
        <v>78</v>
      </c>
      <c r="H25" s="1">
        <v>4.7</v>
      </c>
      <c r="I25" s="1">
        <v>180</v>
      </c>
      <c r="J25" s="8"/>
      <c r="K25" s="5">
        <f>TIME(0,30,38)</f>
        <v>2.1273148148148149E-2</v>
      </c>
      <c r="L25" s="6">
        <v>0</v>
      </c>
      <c r="M25" s="1"/>
      <c r="N25" s="1"/>
      <c r="O25" s="1">
        <v>30</v>
      </c>
      <c r="P25" s="1">
        <v>38</v>
      </c>
      <c r="Q25" s="6">
        <f>P25+L25</f>
        <v>38</v>
      </c>
      <c r="R25" s="1">
        <v>180</v>
      </c>
      <c r="S25" s="1">
        <f>((O25+(P25/60))*0.0711+2.1189)</f>
        <v>4.2969299999999997</v>
      </c>
      <c r="T25" s="6">
        <f>((O25*60+Q25+S25*(200-R25))/60)</f>
        <v>32.065643333333334</v>
      </c>
      <c r="U25" s="1" t="s">
        <v>77</v>
      </c>
    </row>
    <row r="26" spans="1:21" x14ac:dyDescent="0.2">
      <c r="A26" s="1">
        <v>24</v>
      </c>
      <c r="B26" s="1">
        <v>4</v>
      </c>
      <c r="C26" s="1" t="s">
        <v>24</v>
      </c>
      <c r="D26" s="1"/>
      <c r="E26" s="1" t="s">
        <v>49</v>
      </c>
      <c r="F26" s="1" t="s">
        <v>20</v>
      </c>
      <c r="G26" s="1"/>
      <c r="H26" s="1">
        <v>4.75</v>
      </c>
      <c r="I26" s="1">
        <v>190</v>
      </c>
      <c r="J26" s="4">
        <v>43973</v>
      </c>
      <c r="K26" s="5">
        <f>TIME(0,31,35)</f>
        <v>2.193287037037037E-2</v>
      </c>
      <c r="L26" s="6">
        <v>0</v>
      </c>
      <c r="M26" s="1"/>
      <c r="N26" s="1"/>
      <c r="O26" s="1">
        <v>31</v>
      </c>
      <c r="P26" s="1">
        <v>35</v>
      </c>
      <c r="Q26" s="6">
        <f>P26+L26</f>
        <v>35</v>
      </c>
      <c r="R26" s="1">
        <v>190</v>
      </c>
      <c r="S26" s="1">
        <f>((O26+(P26/60))*0.0711+2.1189)</f>
        <v>4.3644749999999997</v>
      </c>
      <c r="T26" s="6">
        <f>((O26*60+Q26+S26*(200-R26))/60)</f>
        <v>32.310745833333335</v>
      </c>
      <c r="U26" s="1" t="s">
        <v>24</v>
      </c>
    </row>
    <row r="27" spans="1:21" x14ac:dyDescent="0.2">
      <c r="A27" s="1">
        <v>25</v>
      </c>
      <c r="B27" s="1">
        <v>10</v>
      </c>
      <c r="C27" s="1" t="s">
        <v>34</v>
      </c>
      <c r="D27" s="1"/>
      <c r="E27" s="1" t="s">
        <v>32</v>
      </c>
      <c r="F27" s="1" t="s">
        <v>35</v>
      </c>
      <c r="G27" s="1" t="s">
        <v>36</v>
      </c>
      <c r="H27" s="6">
        <f>2.9*8/5</f>
        <v>4.6399999999999997</v>
      </c>
      <c r="I27" s="7">
        <f>0.3048*752</f>
        <v>229.20960000000002</v>
      </c>
      <c r="J27" s="4">
        <v>43972</v>
      </c>
      <c r="K27" s="5">
        <f>TIME(0,34,33)</f>
        <v>2.3993055555555556E-2</v>
      </c>
      <c r="L27" s="6">
        <v>0</v>
      </c>
      <c r="M27" s="1"/>
      <c r="N27" s="1"/>
      <c r="O27" s="1">
        <v>34</v>
      </c>
      <c r="P27" s="1">
        <v>33</v>
      </c>
      <c r="Q27" s="6">
        <f>P27+L27</f>
        <v>33</v>
      </c>
      <c r="R27" s="1">
        <v>229</v>
      </c>
      <c r="S27" s="1">
        <f>((O27+(P27/60))*0.0711+2.1189)</f>
        <v>4.5754049999999999</v>
      </c>
      <c r="T27" s="6">
        <f>((O27*60+Q27+S27*(200-R27))/60)</f>
        <v>32.338554250000001</v>
      </c>
      <c r="U27" s="1" t="s">
        <v>34</v>
      </c>
    </row>
    <row r="28" spans="1:21" x14ac:dyDescent="0.2">
      <c r="A28" s="1">
        <v>26</v>
      </c>
      <c r="B28" s="1">
        <v>2</v>
      </c>
      <c r="C28" s="1" t="s">
        <v>10</v>
      </c>
      <c r="D28" s="1" t="s">
        <v>18</v>
      </c>
      <c r="E28" s="1" t="s">
        <v>49</v>
      </c>
      <c r="F28" s="1" t="s">
        <v>21</v>
      </c>
      <c r="G28" s="1"/>
      <c r="H28" s="1">
        <v>4.8</v>
      </c>
      <c r="I28" s="1">
        <v>197</v>
      </c>
      <c r="J28" s="4">
        <v>43969</v>
      </c>
      <c r="K28" s="5">
        <f>TIME(0,33,20)</f>
        <v>2.314814814814815E-2</v>
      </c>
      <c r="L28" s="6">
        <v>0</v>
      </c>
      <c r="M28" s="1"/>
      <c r="N28" s="1"/>
      <c r="O28" s="1">
        <v>33</v>
      </c>
      <c r="P28" s="1">
        <v>20</v>
      </c>
      <c r="Q28" s="6">
        <f>P28+L28</f>
        <v>20</v>
      </c>
      <c r="R28" s="1">
        <v>197</v>
      </c>
      <c r="S28" s="1">
        <f>((O28+(P28/60))*0.0711+2.1189)</f>
        <v>4.4889000000000001</v>
      </c>
      <c r="T28" s="6">
        <f>((O28*60+Q28+S28*(200-R28))/60)</f>
        <v>33.557778333333331</v>
      </c>
      <c r="U28" s="1" t="s">
        <v>10</v>
      </c>
    </row>
    <row r="29" spans="1:21" x14ac:dyDescent="0.2">
      <c r="A29" s="1">
        <v>27</v>
      </c>
      <c r="B29" s="1">
        <v>29</v>
      </c>
      <c r="C29" s="9" t="s">
        <v>82</v>
      </c>
      <c r="D29" s="1"/>
      <c r="E29" s="9" t="s">
        <v>49</v>
      </c>
      <c r="F29" s="1" t="s">
        <v>39</v>
      </c>
      <c r="G29" s="12" t="s">
        <v>83</v>
      </c>
      <c r="H29" s="6">
        <f>2.9*8/5</f>
        <v>4.6399999999999997</v>
      </c>
      <c r="I29" s="7">
        <f>0.3048*288</f>
        <v>87.78240000000001</v>
      </c>
      <c r="J29" s="1"/>
      <c r="K29" s="5">
        <f>TIME(0,26,10)</f>
        <v>1.8171296296296297E-2</v>
      </c>
      <c r="L29" s="6">
        <v>0</v>
      </c>
      <c r="M29" s="1"/>
      <c r="N29" s="1"/>
      <c r="O29" s="1">
        <v>26</v>
      </c>
      <c r="P29" s="1">
        <v>10</v>
      </c>
      <c r="Q29" s="6">
        <f>P29+L29</f>
        <v>10</v>
      </c>
      <c r="R29" s="1">
        <v>88</v>
      </c>
      <c r="S29" s="1">
        <f>((O29+(P29/60))*0.0711+2.1189)</f>
        <v>3.9793500000000002</v>
      </c>
      <c r="T29" s="6">
        <f>((O29*60+Q29+S29*(200-R29))/60)</f>
        <v>33.594786666666671</v>
      </c>
      <c r="U29" s="9" t="s">
        <v>82</v>
      </c>
    </row>
    <row r="30" spans="1:21" x14ac:dyDescent="0.2">
      <c r="A30" s="1">
        <v>28</v>
      </c>
      <c r="B30" s="1">
        <v>8</v>
      </c>
      <c r="C30" s="1" t="s">
        <v>13</v>
      </c>
      <c r="D30" s="1" t="s">
        <v>37</v>
      </c>
      <c r="E30" s="1" t="s">
        <v>14</v>
      </c>
      <c r="F30" s="1" t="s">
        <v>40</v>
      </c>
      <c r="G30" s="1"/>
      <c r="H30" s="1">
        <v>5</v>
      </c>
      <c r="I30" s="1">
        <v>220</v>
      </c>
      <c r="J30" s="4">
        <v>43969</v>
      </c>
      <c r="K30" s="5">
        <f>TIME(0,37,14)</f>
        <v>2.585648148148148E-2</v>
      </c>
      <c r="L30" s="6">
        <v>-60</v>
      </c>
      <c r="M30" s="1"/>
      <c r="N30" s="1"/>
      <c r="O30" s="1">
        <v>37</v>
      </c>
      <c r="P30" s="1">
        <v>14</v>
      </c>
      <c r="Q30" s="6">
        <f>P30+L30</f>
        <v>-46</v>
      </c>
      <c r="R30" s="1">
        <v>220</v>
      </c>
      <c r="S30" s="1">
        <f>((O30+(P30/60))*0.0711+2.1189)</f>
        <v>4.7661899999999999</v>
      </c>
      <c r="T30" s="6">
        <f>((O30*60+Q30+S30*(200-R30))/60)</f>
        <v>34.644603333333329</v>
      </c>
      <c r="U30" s="1" t="s">
        <v>13</v>
      </c>
    </row>
    <row r="31" spans="1:21" x14ac:dyDescent="0.2">
      <c r="A31" s="1">
        <v>29</v>
      </c>
      <c r="B31" s="9">
        <v>31</v>
      </c>
      <c r="C31" s="9" t="s">
        <v>87</v>
      </c>
      <c r="D31" s="1"/>
      <c r="E31" s="9" t="s">
        <v>49</v>
      </c>
      <c r="F31" s="9" t="s">
        <v>119</v>
      </c>
      <c r="G31" s="11" t="s">
        <v>88</v>
      </c>
      <c r="H31" s="9">
        <v>4.5</v>
      </c>
      <c r="I31" s="9">
        <v>229</v>
      </c>
      <c r="J31" s="1"/>
      <c r="K31" s="5">
        <f>TIME(0,37,10)</f>
        <v>2.5810185185185183E-2</v>
      </c>
      <c r="L31" s="6">
        <v>30</v>
      </c>
      <c r="M31" s="1" t="s">
        <v>90</v>
      </c>
      <c r="N31" s="1"/>
      <c r="O31" s="1">
        <v>37</v>
      </c>
      <c r="P31" s="1">
        <v>10</v>
      </c>
      <c r="Q31" s="6">
        <f>P31+L31</f>
        <v>40</v>
      </c>
      <c r="R31" s="1">
        <v>229</v>
      </c>
      <c r="S31" s="1">
        <f>((O31+(P31/60))*0.0711+2.1189)</f>
        <v>4.76145</v>
      </c>
      <c r="T31" s="6">
        <f>((O31*60+Q31+S31*(200-R31))/60)</f>
        <v>35.365299166666667</v>
      </c>
      <c r="U31" s="9" t="s">
        <v>87</v>
      </c>
    </row>
    <row r="32" spans="1:21" x14ac:dyDescent="0.2">
      <c r="A32" s="1">
        <v>30</v>
      </c>
      <c r="B32" s="1">
        <v>3</v>
      </c>
      <c r="C32" s="1" t="s">
        <v>23</v>
      </c>
      <c r="D32" s="1" t="s">
        <v>72</v>
      </c>
      <c r="E32" s="1" t="s">
        <v>49</v>
      </c>
      <c r="F32" s="1" t="s">
        <v>40</v>
      </c>
      <c r="G32" s="1"/>
      <c r="H32" s="1">
        <v>4.75</v>
      </c>
      <c r="I32" s="1">
        <v>190</v>
      </c>
      <c r="J32" s="4">
        <v>43972</v>
      </c>
      <c r="K32" s="5">
        <f>TIME(0,35,49)</f>
        <v>2.4872685185185189E-2</v>
      </c>
      <c r="L32" s="6">
        <v>0</v>
      </c>
      <c r="M32" s="1"/>
      <c r="N32" s="1"/>
      <c r="O32" s="1">
        <v>35</v>
      </c>
      <c r="P32" s="1">
        <v>48</v>
      </c>
      <c r="Q32" s="6">
        <f>P32+L32</f>
        <v>48</v>
      </c>
      <c r="R32" s="1">
        <v>190</v>
      </c>
      <c r="S32" s="1">
        <f>((O32+(P32/60))*0.0711+2.1189)</f>
        <v>4.6642799999999998</v>
      </c>
      <c r="T32" s="6">
        <f>((O32*60+Q32+S32*(200-R32))/60)</f>
        <v>36.577379999999998</v>
      </c>
      <c r="U32" s="1" t="s">
        <v>23</v>
      </c>
    </row>
    <row r="33" spans="1:21" x14ac:dyDescent="0.2">
      <c r="A33" s="1">
        <v>31</v>
      </c>
      <c r="B33" s="1">
        <v>12</v>
      </c>
      <c r="C33" s="1" t="s">
        <v>41</v>
      </c>
      <c r="D33" s="1"/>
      <c r="E33" s="1" t="s">
        <v>14</v>
      </c>
      <c r="F33" s="1" t="s">
        <v>20</v>
      </c>
      <c r="G33" s="1" t="s">
        <v>42</v>
      </c>
      <c r="H33" s="1">
        <v>5.45</v>
      </c>
      <c r="I33" s="1">
        <v>225</v>
      </c>
      <c r="J33" s="4">
        <v>43970</v>
      </c>
      <c r="K33" s="5">
        <f>TIME(0,42,9)</f>
        <v>2.9270833333333333E-2</v>
      </c>
      <c r="L33" s="6">
        <v>-180</v>
      </c>
      <c r="M33" s="1"/>
      <c r="N33" s="1"/>
      <c r="O33" s="1">
        <v>42</v>
      </c>
      <c r="P33" s="1">
        <v>9</v>
      </c>
      <c r="Q33" s="6">
        <f>P33+L33</f>
        <v>-171</v>
      </c>
      <c r="R33" s="1">
        <v>225</v>
      </c>
      <c r="S33" s="1">
        <f>((O33+(P33/60))*0.0711+2.1189)</f>
        <v>5.1157649999999997</v>
      </c>
      <c r="T33" s="6">
        <f>((O33*60+Q33+S33*(200-R33))/60)</f>
        <v>37.018431250000006</v>
      </c>
      <c r="U33" s="1" t="s">
        <v>41</v>
      </c>
    </row>
    <row r="34" spans="1:21" x14ac:dyDescent="0.2">
      <c r="A34" s="1">
        <v>32</v>
      </c>
      <c r="B34" s="1">
        <v>26</v>
      </c>
      <c r="C34" s="1" t="s">
        <v>73</v>
      </c>
      <c r="D34" s="1"/>
      <c r="E34" s="1" t="s">
        <v>49</v>
      </c>
      <c r="F34" s="1" t="s">
        <v>112</v>
      </c>
      <c r="G34" s="1" t="s">
        <v>74</v>
      </c>
      <c r="H34" s="6">
        <f>3.2*8/5</f>
        <v>5.12</v>
      </c>
      <c r="I34" s="1">
        <v>234</v>
      </c>
      <c r="J34" s="1"/>
      <c r="K34" s="5">
        <f>TIME(0,43,15)</f>
        <v>3.0034722222222223E-2</v>
      </c>
      <c r="L34" s="6">
        <v>-60</v>
      </c>
      <c r="M34" s="1"/>
      <c r="N34" s="1"/>
      <c r="O34" s="1">
        <v>43</v>
      </c>
      <c r="P34" s="1">
        <v>15</v>
      </c>
      <c r="Q34" s="6">
        <f>P34+L34</f>
        <v>-45</v>
      </c>
      <c r="R34" s="1">
        <v>234</v>
      </c>
      <c r="S34" s="1">
        <f>((O34+(P34/60))*0.0711+2.1189)</f>
        <v>5.193975</v>
      </c>
      <c r="T34" s="6">
        <f>((O34*60+Q34+S34*(200-R34))/60)</f>
        <v>39.3067475</v>
      </c>
      <c r="U34" s="1" t="s">
        <v>73</v>
      </c>
    </row>
    <row r="35" spans="1:21" x14ac:dyDescent="0.2">
      <c r="A35" s="1">
        <v>33</v>
      </c>
      <c r="B35" s="1">
        <v>22</v>
      </c>
      <c r="C35" s="1" t="s">
        <v>60</v>
      </c>
      <c r="D35" s="1"/>
      <c r="E35" s="1" t="s">
        <v>61</v>
      </c>
      <c r="F35" s="1" t="s">
        <v>39</v>
      </c>
      <c r="G35" s="1" t="s">
        <v>62</v>
      </c>
      <c r="H35" s="1">
        <v>4.8899999999999997</v>
      </c>
      <c r="I35" s="1">
        <v>204</v>
      </c>
      <c r="J35" s="4">
        <v>43971</v>
      </c>
      <c r="K35" s="5">
        <f>TIME(0,40,24)</f>
        <v>2.8055555555555556E-2</v>
      </c>
      <c r="L35" s="6">
        <v>0</v>
      </c>
      <c r="M35" s="1"/>
      <c r="N35" s="1"/>
      <c r="O35" s="1">
        <v>40</v>
      </c>
      <c r="P35" s="1">
        <v>24</v>
      </c>
      <c r="Q35" s="6">
        <f>P35+L35</f>
        <v>24</v>
      </c>
      <c r="R35" s="1">
        <v>204</v>
      </c>
      <c r="S35" s="1">
        <f>((O35+(P35/60))*0.0711+2.1189)</f>
        <v>4.9913399999999992</v>
      </c>
      <c r="T35" s="6">
        <f>((O35*60+Q35+S35*(200-R35))/60)</f>
        <v>40.067243999999995</v>
      </c>
      <c r="U35" s="1" t="s">
        <v>60</v>
      </c>
    </row>
    <row r="36" spans="1:21" x14ac:dyDescent="0.2">
      <c r="A36" s="1">
        <v>34</v>
      </c>
      <c r="B36" s="9">
        <v>30</v>
      </c>
      <c r="C36" s="9" t="s">
        <v>84</v>
      </c>
      <c r="D36" s="1"/>
      <c r="E36" s="9" t="s">
        <v>49</v>
      </c>
      <c r="F36" s="9" t="s">
        <v>86</v>
      </c>
      <c r="G36" s="9" t="s">
        <v>85</v>
      </c>
      <c r="H36" s="9">
        <v>4.7</v>
      </c>
      <c r="I36" s="9">
        <v>181</v>
      </c>
      <c r="J36" s="1"/>
      <c r="K36" s="5">
        <f>TIME(0,38,35)</f>
        <v>2.6793981481481485E-2</v>
      </c>
      <c r="L36" s="6">
        <v>0</v>
      </c>
      <c r="M36" s="1"/>
      <c r="N36" s="1"/>
      <c r="O36" s="1">
        <v>38</v>
      </c>
      <c r="P36" s="1">
        <v>35</v>
      </c>
      <c r="Q36" s="6">
        <f>P36+L36</f>
        <v>35</v>
      </c>
      <c r="R36" s="1">
        <v>181</v>
      </c>
      <c r="S36" s="1">
        <f>((O36+(P36/60))*0.0711+2.1189)</f>
        <v>4.8621750000000006</v>
      </c>
      <c r="T36" s="6">
        <f>((O36*60+Q36+S36*(200-R36))/60)</f>
        <v>40.123022083333332</v>
      </c>
      <c r="U36" s="9" t="s">
        <v>84</v>
      </c>
    </row>
    <row r="37" spans="1:21" x14ac:dyDescent="0.2">
      <c r="A37" s="1">
        <v>35</v>
      </c>
      <c r="B37" s="9">
        <v>36</v>
      </c>
      <c r="C37" s="9" t="s">
        <v>105</v>
      </c>
      <c r="D37" s="1"/>
      <c r="E37" s="9" t="s">
        <v>14</v>
      </c>
      <c r="F37" s="9" t="s">
        <v>104</v>
      </c>
      <c r="G37" s="10" t="s">
        <v>108</v>
      </c>
      <c r="H37" s="9">
        <v>5.2</v>
      </c>
      <c r="I37" s="9">
        <v>223</v>
      </c>
      <c r="J37" s="1"/>
      <c r="K37" s="5">
        <f>TIME(0,51,18)</f>
        <v>3.5624999999999997E-2</v>
      </c>
      <c r="L37" s="6">
        <v>0</v>
      </c>
      <c r="M37" s="1"/>
      <c r="N37" s="1"/>
      <c r="O37" s="1">
        <v>51</v>
      </c>
      <c r="P37" s="1">
        <v>18</v>
      </c>
      <c r="Q37" s="6">
        <f>P37+L37</f>
        <v>18</v>
      </c>
      <c r="R37" s="1">
        <v>223</v>
      </c>
      <c r="S37" s="1">
        <f>((O37+(P37/60))*0.0711+2.1189)</f>
        <v>5.76633</v>
      </c>
      <c r="T37" s="6">
        <f>((O37*60+Q37+S37*(200-R37))/60)</f>
        <v>49.0895735</v>
      </c>
      <c r="U37" s="9" t="s">
        <v>105</v>
      </c>
    </row>
    <row r="38" spans="1:21" x14ac:dyDescent="0.2">
      <c r="A38" s="1">
        <v>36</v>
      </c>
      <c r="B38" s="9">
        <v>37</v>
      </c>
      <c r="C38" s="9" t="s">
        <v>106</v>
      </c>
      <c r="D38" s="1"/>
      <c r="E38" s="9" t="s">
        <v>14</v>
      </c>
      <c r="F38" s="9" t="s">
        <v>107</v>
      </c>
      <c r="G38" s="10" t="s">
        <v>108</v>
      </c>
      <c r="H38" s="9">
        <v>5.2</v>
      </c>
      <c r="I38" s="9">
        <v>223</v>
      </c>
      <c r="J38" s="1"/>
      <c r="K38" s="5">
        <f>TIME(0,51,18)</f>
        <v>3.5624999999999997E-2</v>
      </c>
      <c r="L38" s="6">
        <v>0</v>
      </c>
      <c r="M38" s="1"/>
      <c r="N38" s="1"/>
      <c r="O38" s="1">
        <v>51</v>
      </c>
      <c r="P38" s="1">
        <v>18</v>
      </c>
      <c r="Q38" s="6">
        <f>P38+L38</f>
        <v>18</v>
      </c>
      <c r="R38" s="1">
        <v>223</v>
      </c>
      <c r="S38" s="1">
        <f>((O38+(P38/60))*0.0711+2.1189)</f>
        <v>5.76633</v>
      </c>
      <c r="T38" s="6">
        <f>((O38*60+Q38+S38*(200-R38))/60)</f>
        <v>49.0895735</v>
      </c>
      <c r="U38" s="9" t="s">
        <v>106</v>
      </c>
    </row>
    <row r="39" spans="1:21" x14ac:dyDescent="0.2">
      <c r="A39" s="1">
        <v>37</v>
      </c>
      <c r="B39" s="1">
        <v>20</v>
      </c>
      <c r="C39" s="1" t="s">
        <v>57</v>
      </c>
      <c r="D39" s="1"/>
      <c r="E39" s="1" t="s">
        <v>49</v>
      </c>
      <c r="F39" s="1" t="s">
        <v>114</v>
      </c>
      <c r="G39" s="1"/>
      <c r="H39" s="1">
        <v>4.7</v>
      </c>
      <c r="I39" s="1">
        <v>200</v>
      </c>
      <c r="J39" s="4">
        <v>43971</v>
      </c>
      <c r="K39" s="5">
        <f>TIME(0,51,0)</f>
        <v>3.5416666666666666E-2</v>
      </c>
      <c r="L39" s="6">
        <v>0</v>
      </c>
      <c r="M39" s="1"/>
      <c r="N39" s="1"/>
      <c r="O39" s="1">
        <v>51</v>
      </c>
      <c r="P39" s="1">
        <v>0</v>
      </c>
      <c r="Q39" s="6">
        <f>P39+L39</f>
        <v>0</v>
      </c>
      <c r="R39" s="1">
        <v>200</v>
      </c>
      <c r="S39" s="1">
        <f>((O39+(P39/60))*0.0711+2.1189)</f>
        <v>5.7449999999999992</v>
      </c>
      <c r="T39" s="6">
        <f>((O39*60+Q39+S39*(200-R39))/60)</f>
        <v>51</v>
      </c>
      <c r="U39" s="1" t="s">
        <v>57</v>
      </c>
    </row>
    <row r="42" spans="1:21" x14ac:dyDescent="0.2">
      <c r="B42" s="13" t="s">
        <v>145</v>
      </c>
      <c r="C42" s="14"/>
      <c r="D42" s="1" t="s">
        <v>8</v>
      </c>
      <c r="E42" s="1" t="s">
        <v>4</v>
      </c>
      <c r="H42" s="13" t="s">
        <v>146</v>
      </c>
      <c r="I42" s="14"/>
      <c r="J42" s="1" t="s">
        <v>8</v>
      </c>
      <c r="K42" s="1" t="s">
        <v>4</v>
      </c>
      <c r="O42" s="13" t="s">
        <v>124</v>
      </c>
      <c r="P42" s="16"/>
      <c r="Q42" s="16"/>
      <c r="R42" s="16"/>
      <c r="S42" s="14"/>
    </row>
    <row r="43" spans="1:21" x14ac:dyDescent="0.2">
      <c r="B43" s="1" t="s">
        <v>120</v>
      </c>
      <c r="C43" s="1" t="str">
        <f>C3</f>
        <v>Paul Rowley</v>
      </c>
      <c r="D43" s="6">
        <f>T3</f>
        <v>23.016666666666666</v>
      </c>
      <c r="E43" s="1" t="s">
        <v>49</v>
      </c>
      <c r="H43" s="1" t="s">
        <v>120</v>
      </c>
      <c r="I43" s="1" t="str">
        <f>C8</f>
        <v>Imogen Jones</v>
      </c>
      <c r="J43" s="6">
        <f>T8</f>
        <v>25.536380000000001</v>
      </c>
      <c r="K43" s="1" t="s">
        <v>49</v>
      </c>
      <c r="O43" s="15" t="s">
        <v>125</v>
      </c>
      <c r="P43" s="15"/>
      <c r="Q43" s="15"/>
      <c r="R43" s="13" t="str">
        <f>C43</f>
        <v>Paul Rowley</v>
      </c>
      <c r="S43" s="14"/>
    </row>
    <row r="44" spans="1:21" x14ac:dyDescent="0.2">
      <c r="B44" s="1" t="s">
        <v>116</v>
      </c>
      <c r="C44" s="1" t="str">
        <f>C4</f>
        <v>Lucas Jones</v>
      </c>
      <c r="D44" s="6">
        <f>T4</f>
        <v>23.671303333333334</v>
      </c>
      <c r="E44" s="1" t="s">
        <v>14</v>
      </c>
      <c r="H44" s="1" t="s">
        <v>116</v>
      </c>
      <c r="I44" s="1" t="str">
        <f>U9</f>
        <v>Sarah Warhurst</v>
      </c>
      <c r="J44" s="6">
        <f>T9</f>
        <v>25.572208333333332</v>
      </c>
      <c r="K44" s="1" t="s">
        <v>49</v>
      </c>
      <c r="O44" s="15" t="s">
        <v>126</v>
      </c>
      <c r="P44" s="15"/>
      <c r="Q44" s="15"/>
      <c r="R44" s="13" t="s">
        <v>127</v>
      </c>
      <c r="S44" s="14"/>
    </row>
    <row r="45" spans="1:21" x14ac:dyDescent="0.2">
      <c r="B45" s="1" t="s">
        <v>117</v>
      </c>
      <c r="C45" s="1" t="str">
        <f>C5</f>
        <v>Dave Ahearn</v>
      </c>
      <c r="D45" s="6">
        <f>T5</f>
        <v>23.916405000000001</v>
      </c>
      <c r="E45" s="1" t="str">
        <f>E5</f>
        <v>PFR</v>
      </c>
      <c r="H45" s="1" t="s">
        <v>117</v>
      </c>
      <c r="I45" s="1" t="str">
        <f>C12</f>
        <v>Joanne Ellis</v>
      </c>
      <c r="J45" s="6">
        <f>T12</f>
        <v>26.818320000000003</v>
      </c>
      <c r="K45" s="1" t="s">
        <v>49</v>
      </c>
      <c r="O45" s="15" t="s">
        <v>128</v>
      </c>
      <c r="P45" s="15"/>
      <c r="Q45" s="15"/>
      <c r="R45" s="13" t="s">
        <v>129</v>
      </c>
      <c r="S45" s="14"/>
    </row>
    <row r="46" spans="1:21" x14ac:dyDescent="0.2">
      <c r="B46" s="1" t="s">
        <v>101</v>
      </c>
      <c r="C46" s="1" t="s">
        <v>100</v>
      </c>
      <c r="D46" s="6">
        <f>T20</f>
        <v>30.035782083333334</v>
      </c>
      <c r="E46" s="1" t="s">
        <v>14</v>
      </c>
      <c r="H46" s="1" t="s">
        <v>121</v>
      </c>
      <c r="I46" s="1" t="str">
        <f>C38</f>
        <v>Julia Davis</v>
      </c>
      <c r="J46" s="6">
        <f>T38</f>
        <v>49.0895735</v>
      </c>
      <c r="K46" s="1" t="s">
        <v>14</v>
      </c>
      <c r="O46" s="15" t="s">
        <v>130</v>
      </c>
      <c r="P46" s="15"/>
      <c r="Q46" s="15"/>
      <c r="R46" s="13" t="s">
        <v>131</v>
      </c>
      <c r="S46" s="14"/>
    </row>
    <row r="47" spans="1:21" x14ac:dyDescent="0.2">
      <c r="B47" s="1" t="s">
        <v>46</v>
      </c>
      <c r="C47" s="1" t="str">
        <f>C10</f>
        <v>Stevie Knowles</v>
      </c>
      <c r="D47" s="6">
        <f>T10</f>
        <v>26.100229333333335</v>
      </c>
      <c r="E47" s="1" t="str">
        <f t="shared" ref="E47:E49" si="0">E6</f>
        <v>PFR</v>
      </c>
      <c r="H47" s="1" t="s">
        <v>35</v>
      </c>
      <c r="I47" s="1" t="str">
        <f>U27</f>
        <v>Lucy Whelan</v>
      </c>
      <c r="J47" s="6">
        <f>T27</f>
        <v>32.338554250000001</v>
      </c>
      <c r="K47" s="1" t="s">
        <v>32</v>
      </c>
      <c r="O47" s="15" t="s">
        <v>132</v>
      </c>
      <c r="P47" s="15"/>
      <c r="Q47" s="15"/>
      <c r="R47" s="13" t="s">
        <v>133</v>
      </c>
      <c r="S47" s="14"/>
    </row>
    <row r="48" spans="1:21" x14ac:dyDescent="0.2">
      <c r="B48" s="1" t="s">
        <v>118</v>
      </c>
      <c r="C48" s="1" t="str">
        <f>C6</f>
        <v>Tim Oliver</v>
      </c>
      <c r="D48" s="6">
        <f>T6</f>
        <v>24.531091666666669</v>
      </c>
      <c r="E48" s="1" t="str">
        <f t="shared" si="0"/>
        <v>PFR</v>
      </c>
      <c r="H48" s="1" t="s">
        <v>33</v>
      </c>
      <c r="I48" s="1" t="str">
        <f>U16</f>
        <v>Amy Whelan</v>
      </c>
      <c r="J48" s="6">
        <f>T16</f>
        <v>27.655224499999999</v>
      </c>
      <c r="K48" s="1" t="s">
        <v>32</v>
      </c>
      <c r="O48" s="15" t="s">
        <v>134</v>
      </c>
      <c r="P48" s="15"/>
      <c r="Q48" s="15"/>
      <c r="R48" s="13" t="s">
        <v>62</v>
      </c>
      <c r="S48" s="14"/>
    </row>
    <row r="49" spans="2:21" x14ac:dyDescent="0.2">
      <c r="B49" s="1" t="s">
        <v>20</v>
      </c>
      <c r="C49" s="1" t="str">
        <f>C7</f>
        <v>Ian Warhurst</v>
      </c>
      <c r="D49" s="6">
        <f>T7</f>
        <v>25.238875</v>
      </c>
      <c r="E49" s="1" t="str">
        <f t="shared" si="0"/>
        <v>PFR</v>
      </c>
      <c r="H49" s="1" t="s">
        <v>104</v>
      </c>
      <c r="I49" s="1" t="str">
        <f>C23</f>
        <v>Mary Jones</v>
      </c>
      <c r="J49" s="6">
        <f>T23</f>
        <v>31.639388166666667</v>
      </c>
      <c r="K49" s="1" t="s">
        <v>14</v>
      </c>
      <c r="O49" s="15"/>
      <c r="P49" s="15"/>
      <c r="Q49" s="15"/>
      <c r="R49" s="13" t="s">
        <v>135</v>
      </c>
      <c r="S49" s="14"/>
    </row>
    <row r="50" spans="2:21" x14ac:dyDescent="0.2">
      <c r="B50" s="1" t="s">
        <v>119</v>
      </c>
      <c r="C50" s="1" t="str">
        <f>C31</f>
        <v>Alan Brentnall</v>
      </c>
      <c r="D50" s="6">
        <f>T31</f>
        <v>35.365299166666667</v>
      </c>
      <c r="E50" s="1" t="s">
        <v>49</v>
      </c>
      <c r="H50" s="1" t="s">
        <v>86</v>
      </c>
      <c r="I50" s="1" t="str">
        <f>C22</f>
        <v>Ita Kelly</v>
      </c>
      <c r="J50" s="6">
        <f>T22</f>
        <v>31.340806999999998</v>
      </c>
      <c r="K50" s="1" t="s">
        <v>14</v>
      </c>
      <c r="O50" s="15" t="s">
        <v>136</v>
      </c>
      <c r="P50" s="15"/>
      <c r="Q50" s="15"/>
      <c r="R50" s="13" t="s">
        <v>137</v>
      </c>
      <c r="S50" s="14"/>
    </row>
    <row r="51" spans="2:21" x14ac:dyDescent="0.2">
      <c r="H51" s="1" t="s">
        <v>40</v>
      </c>
      <c r="I51" s="1" t="str">
        <f>C30</f>
        <v>Sue Holland</v>
      </c>
      <c r="J51" s="6">
        <f>T30</f>
        <v>34.644603333333329</v>
      </c>
      <c r="K51" s="1" t="s">
        <v>14</v>
      </c>
      <c r="O51" s="15" t="s">
        <v>138</v>
      </c>
      <c r="P51" s="15"/>
      <c r="Q51" s="15"/>
      <c r="R51" s="13" t="s">
        <v>139</v>
      </c>
      <c r="S51" s="14"/>
    </row>
    <row r="52" spans="2:21" x14ac:dyDescent="0.2">
      <c r="H52" s="1" t="s">
        <v>112</v>
      </c>
      <c r="I52" s="1" t="str">
        <f>C34</f>
        <v>Alison Brentnall</v>
      </c>
      <c r="J52" s="6">
        <f>T34</f>
        <v>39.3067475</v>
      </c>
      <c r="K52" s="1" t="s">
        <v>49</v>
      </c>
      <c r="O52" s="15" t="s">
        <v>140</v>
      </c>
      <c r="P52" s="15"/>
      <c r="Q52" s="15"/>
      <c r="R52" s="13" t="s">
        <v>141</v>
      </c>
      <c r="S52" s="14"/>
    </row>
    <row r="53" spans="2:21" x14ac:dyDescent="0.2">
      <c r="H53" s="1" t="s">
        <v>122</v>
      </c>
      <c r="I53" s="1" t="s">
        <v>123</v>
      </c>
      <c r="J53" s="6">
        <f>T39</f>
        <v>51</v>
      </c>
      <c r="K53" s="1" t="s">
        <v>49</v>
      </c>
      <c r="O53" s="15" t="s">
        <v>142</v>
      </c>
      <c r="P53" s="15"/>
      <c r="Q53" s="15"/>
      <c r="R53" s="13" t="s">
        <v>84</v>
      </c>
      <c r="S53" s="14"/>
    </row>
    <row r="54" spans="2:21" x14ac:dyDescent="0.2">
      <c r="O54" s="15" t="s">
        <v>143</v>
      </c>
      <c r="P54" s="15"/>
      <c r="Q54" s="15"/>
      <c r="R54" s="13" t="s">
        <v>144</v>
      </c>
      <c r="S54" s="14"/>
    </row>
    <row r="56" spans="2:21" x14ac:dyDescent="0.2">
      <c r="B56" t="s">
        <v>8</v>
      </c>
      <c r="C56" t="s">
        <v>25</v>
      </c>
      <c r="O56" t="s">
        <v>8</v>
      </c>
      <c r="T56" t="s">
        <v>27</v>
      </c>
    </row>
    <row r="57" spans="2:21" x14ac:dyDescent="0.2">
      <c r="B57">
        <v>20</v>
      </c>
      <c r="C57">
        <v>2.19</v>
      </c>
      <c r="O57" t="s">
        <v>30</v>
      </c>
      <c r="P57" t="s">
        <v>29</v>
      </c>
      <c r="R57" t="s">
        <v>28</v>
      </c>
      <c r="S57" t="s">
        <v>26</v>
      </c>
    </row>
    <row r="58" spans="2:21" x14ac:dyDescent="0.2">
      <c r="B58">
        <v>21</v>
      </c>
      <c r="C58">
        <f>C57+0.0711</f>
        <v>2.2610999999999999</v>
      </c>
      <c r="O58">
        <v>16</v>
      </c>
      <c r="P58" s="2">
        <v>10</v>
      </c>
      <c r="R58">
        <v>230</v>
      </c>
      <c r="S58">
        <f t="shared" ref="S58:S66" si="1">((O58+(P58/60))*0.0711+2.1189)</f>
        <v>3.2683499999999999</v>
      </c>
      <c r="T58" s="2">
        <f t="shared" ref="T58:T66" si="2">((O58*60+P58+S58*(200-R58))/60)</f>
        <v>14.532491666666665</v>
      </c>
      <c r="U58" s="3"/>
    </row>
    <row r="59" spans="2:21" x14ac:dyDescent="0.2">
      <c r="B59">
        <v>22</v>
      </c>
      <c r="C59">
        <f t="shared" ref="C59:C77" si="3">C58+0.0711</f>
        <v>2.3321999999999998</v>
      </c>
      <c r="O59">
        <v>18</v>
      </c>
      <c r="P59" s="2">
        <v>10</v>
      </c>
      <c r="R59">
        <v>100</v>
      </c>
      <c r="S59">
        <f t="shared" si="1"/>
        <v>3.4105499999999997</v>
      </c>
      <c r="T59" s="2">
        <f t="shared" si="2"/>
        <v>23.850916666666663</v>
      </c>
    </row>
    <row r="60" spans="2:21" x14ac:dyDescent="0.2">
      <c r="B60">
        <v>23</v>
      </c>
      <c r="C60">
        <f t="shared" si="3"/>
        <v>2.4032999999999998</v>
      </c>
      <c r="O60">
        <v>19</v>
      </c>
      <c r="P60" s="2">
        <v>24</v>
      </c>
      <c r="R60">
        <v>140</v>
      </c>
      <c r="S60">
        <f t="shared" si="1"/>
        <v>3.49824</v>
      </c>
      <c r="T60" s="2">
        <f t="shared" si="2"/>
        <v>22.898239999999998</v>
      </c>
    </row>
    <row r="61" spans="2:21" x14ac:dyDescent="0.2">
      <c r="B61">
        <v>24</v>
      </c>
      <c r="C61">
        <f t="shared" si="3"/>
        <v>2.4743999999999997</v>
      </c>
      <c r="O61">
        <v>21</v>
      </c>
      <c r="P61" s="2">
        <v>17</v>
      </c>
      <c r="R61">
        <v>150</v>
      </c>
      <c r="S61">
        <f t="shared" si="1"/>
        <v>3.632145</v>
      </c>
      <c r="T61" s="2">
        <f t="shared" si="2"/>
        <v>24.310120833333333</v>
      </c>
    </row>
    <row r="62" spans="2:21" x14ac:dyDescent="0.2">
      <c r="B62">
        <v>25</v>
      </c>
      <c r="C62">
        <f t="shared" si="3"/>
        <v>2.5454999999999997</v>
      </c>
      <c r="O62">
        <v>21</v>
      </c>
      <c r="P62" s="2">
        <v>34</v>
      </c>
      <c r="R62">
        <v>165</v>
      </c>
      <c r="S62">
        <f t="shared" si="1"/>
        <v>3.6522899999999998</v>
      </c>
      <c r="T62" s="2">
        <f t="shared" si="2"/>
        <v>23.697169166666665</v>
      </c>
    </row>
    <row r="63" spans="2:21" x14ac:dyDescent="0.2">
      <c r="B63">
        <v>26</v>
      </c>
      <c r="C63">
        <f t="shared" si="3"/>
        <v>2.6165999999999996</v>
      </c>
      <c r="O63">
        <v>24</v>
      </c>
      <c r="P63" s="2">
        <v>30</v>
      </c>
      <c r="R63">
        <v>180</v>
      </c>
      <c r="S63">
        <f t="shared" si="1"/>
        <v>3.8608500000000001</v>
      </c>
      <c r="T63" s="2">
        <f t="shared" si="2"/>
        <v>25.786950000000001</v>
      </c>
    </row>
    <row r="64" spans="2:21" x14ac:dyDescent="0.2">
      <c r="B64">
        <v>27</v>
      </c>
      <c r="C64">
        <f t="shared" si="3"/>
        <v>2.6876999999999995</v>
      </c>
      <c r="O64">
        <v>25</v>
      </c>
      <c r="P64" s="2">
        <v>45</v>
      </c>
      <c r="R64">
        <v>120</v>
      </c>
      <c r="S64">
        <f t="shared" si="1"/>
        <v>3.9497249999999999</v>
      </c>
      <c r="T64" s="2">
        <f t="shared" si="2"/>
        <v>31.016300000000001</v>
      </c>
    </row>
    <row r="65" spans="2:20" x14ac:dyDescent="0.2">
      <c r="B65">
        <v>28</v>
      </c>
      <c r="C65">
        <f t="shared" si="3"/>
        <v>2.7587999999999995</v>
      </c>
      <c r="O65">
        <v>34</v>
      </c>
      <c r="P65" s="2">
        <v>20</v>
      </c>
      <c r="R65">
        <v>170</v>
      </c>
      <c r="S65">
        <f t="shared" si="1"/>
        <v>4.5600000000000005</v>
      </c>
      <c r="T65" s="2">
        <f t="shared" si="2"/>
        <v>36.613333333333337</v>
      </c>
    </row>
    <row r="66" spans="2:20" x14ac:dyDescent="0.2">
      <c r="B66">
        <v>29</v>
      </c>
      <c r="C66">
        <f t="shared" si="3"/>
        <v>2.8298999999999994</v>
      </c>
      <c r="O66">
        <v>29</v>
      </c>
      <c r="P66" s="2">
        <v>44</v>
      </c>
      <c r="R66">
        <v>212</v>
      </c>
      <c r="S66">
        <f t="shared" si="1"/>
        <v>4.2329400000000001</v>
      </c>
      <c r="T66" s="2">
        <f t="shared" si="2"/>
        <v>28.886745333333334</v>
      </c>
    </row>
    <row r="67" spans="2:20" x14ac:dyDescent="0.2">
      <c r="B67">
        <v>30</v>
      </c>
      <c r="C67">
        <f t="shared" si="3"/>
        <v>2.9009999999999994</v>
      </c>
      <c r="P67" s="2"/>
    </row>
    <row r="68" spans="2:20" x14ac:dyDescent="0.2">
      <c r="B68">
        <v>31</v>
      </c>
      <c r="C68">
        <f t="shared" si="3"/>
        <v>2.9720999999999993</v>
      </c>
      <c r="P68" s="2"/>
    </row>
    <row r="69" spans="2:20" x14ac:dyDescent="0.2">
      <c r="B69">
        <v>32</v>
      </c>
      <c r="C69">
        <f t="shared" si="3"/>
        <v>3.0431999999999992</v>
      </c>
      <c r="P69" s="2"/>
    </row>
    <row r="70" spans="2:20" x14ac:dyDescent="0.2">
      <c r="B70">
        <v>33</v>
      </c>
      <c r="C70">
        <f t="shared" si="3"/>
        <v>3.1142999999999992</v>
      </c>
      <c r="P70" s="2"/>
    </row>
    <row r="71" spans="2:20" x14ac:dyDescent="0.2">
      <c r="B71">
        <v>34</v>
      </c>
      <c r="C71">
        <f t="shared" si="3"/>
        <v>3.1853999999999991</v>
      </c>
      <c r="P71" s="2"/>
    </row>
    <row r="72" spans="2:20" x14ac:dyDescent="0.2">
      <c r="B72">
        <v>35</v>
      </c>
      <c r="C72">
        <f t="shared" si="3"/>
        <v>3.2564999999999991</v>
      </c>
      <c r="P72" s="2"/>
    </row>
    <row r="73" spans="2:20" x14ac:dyDescent="0.2">
      <c r="B73">
        <v>36</v>
      </c>
      <c r="C73">
        <f t="shared" si="3"/>
        <v>3.327599999999999</v>
      </c>
      <c r="P73" s="2"/>
    </row>
    <row r="74" spans="2:20" x14ac:dyDescent="0.2">
      <c r="B74">
        <v>37</v>
      </c>
      <c r="C74">
        <f t="shared" si="3"/>
        <v>3.3986999999999989</v>
      </c>
      <c r="P74" s="2"/>
    </row>
    <row r="75" spans="2:20" x14ac:dyDescent="0.2">
      <c r="B75">
        <v>38</v>
      </c>
      <c r="C75">
        <f t="shared" si="3"/>
        <v>3.4697999999999989</v>
      </c>
      <c r="P75" s="2"/>
    </row>
    <row r="76" spans="2:20" x14ac:dyDescent="0.2">
      <c r="B76">
        <v>39</v>
      </c>
      <c r="C76">
        <f t="shared" si="3"/>
        <v>3.5408999999999988</v>
      </c>
      <c r="P76" s="2"/>
    </row>
    <row r="77" spans="2:20" x14ac:dyDescent="0.2">
      <c r="B77">
        <v>40</v>
      </c>
      <c r="C77">
        <f t="shared" si="3"/>
        <v>3.6119999999999988</v>
      </c>
      <c r="P77" s="2"/>
    </row>
    <row r="78" spans="2:20" x14ac:dyDescent="0.2">
      <c r="P78" s="2"/>
    </row>
    <row r="79" spans="2:20" x14ac:dyDescent="0.2">
      <c r="P79" s="2"/>
    </row>
    <row r="80" spans="2:20" x14ac:dyDescent="0.2">
      <c r="P80" s="2"/>
    </row>
    <row r="81" spans="16:16" x14ac:dyDescent="0.2">
      <c r="P81" s="2"/>
    </row>
    <row r="82" spans="16:16" x14ac:dyDescent="0.2">
      <c r="P82" s="2"/>
    </row>
    <row r="83" spans="16:16" x14ac:dyDescent="0.2">
      <c r="P83" s="2"/>
    </row>
    <row r="84" spans="16:16" x14ac:dyDescent="0.2">
      <c r="P84" s="2"/>
    </row>
    <row r="85" spans="16:16" x14ac:dyDescent="0.2">
      <c r="P85" s="2"/>
    </row>
    <row r="86" spans="16:16" x14ac:dyDescent="0.2">
      <c r="P86" s="2"/>
    </row>
    <row r="87" spans="16:16" x14ac:dyDescent="0.2">
      <c r="P87" s="2"/>
    </row>
    <row r="88" spans="16:16" x14ac:dyDescent="0.2">
      <c r="P88" s="2"/>
    </row>
  </sheetData>
  <autoFilter ref="A2:U2" xr:uid="{B249ADF1-667F-1D4C-B403-32F1D424981F}">
    <sortState xmlns:xlrd2="http://schemas.microsoft.com/office/spreadsheetml/2017/richdata2" ref="A3:U39">
      <sortCondition ref="T2:T39"/>
    </sortState>
  </autoFilter>
  <sortState xmlns:xlrd2="http://schemas.microsoft.com/office/spreadsheetml/2017/richdata2" ref="O58:T65">
    <sortCondition ref="T58:T65"/>
  </sortState>
  <mergeCells count="27">
    <mergeCell ref="R54:S54"/>
    <mergeCell ref="O42:S42"/>
    <mergeCell ref="R48:S48"/>
    <mergeCell ref="R49:S49"/>
    <mergeCell ref="R50:S50"/>
    <mergeCell ref="R51:S51"/>
    <mergeCell ref="R52:S52"/>
    <mergeCell ref="R53:S53"/>
    <mergeCell ref="O51:Q51"/>
    <mergeCell ref="O52:Q52"/>
    <mergeCell ref="O53:Q53"/>
    <mergeCell ref="O54:Q54"/>
    <mergeCell ref="R43:S43"/>
    <mergeCell ref="R44:S44"/>
    <mergeCell ref="R45:S45"/>
    <mergeCell ref="R46:S46"/>
    <mergeCell ref="R47:S47"/>
    <mergeCell ref="O45:Q45"/>
    <mergeCell ref="O46:Q46"/>
    <mergeCell ref="O47:Q47"/>
    <mergeCell ref="O48:Q48"/>
    <mergeCell ref="O49:Q49"/>
    <mergeCell ref="O50:Q50"/>
    <mergeCell ref="B42:C42"/>
    <mergeCell ref="H42:I42"/>
    <mergeCell ref="O43:Q43"/>
    <mergeCell ref="O44:Q44"/>
  </mergeCells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68010-FED5-0B44-BF2A-EE8447FEC59D}">
  <dimension ref="A1"/>
  <sheetViews>
    <sheetView workbookViewId="0">
      <selection activeCell="C4" sqref="C4"/>
    </sheetView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Edgerton</dc:creator>
  <cp:lastModifiedBy>Peter Edgerton</cp:lastModifiedBy>
  <cp:lastPrinted>2020-05-22T18:22:52Z</cp:lastPrinted>
  <dcterms:created xsi:type="dcterms:W3CDTF">2020-05-17T07:50:22Z</dcterms:created>
  <dcterms:modified xsi:type="dcterms:W3CDTF">2020-05-24T10:42:41Z</dcterms:modified>
</cp:coreProperties>
</file>